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app\transparencia\nominas\"/>
    </mc:Choice>
  </mc:AlternateContent>
  <xr:revisionPtr revIDLastSave="0" documentId="13_ncr:1_{F994E79F-956C-45F6-988C-F8D2BD94C02F}" xr6:coauthVersionLast="47" xr6:coauthVersionMax="47" xr10:uidLastSave="{00000000-0000-0000-0000-000000000000}"/>
  <bookViews>
    <workbookView xWindow="-110" yWindow="-110" windowWidth="19420" windowHeight="10560" tabRatio="816" firstSheet="1" activeTab="7" xr2:uid="{00000000-000D-0000-FFFF-FFFF00000000}"/>
  </bookViews>
  <sheets>
    <sheet name="tarifa" sheetId="2" state="hidden" r:id="rId1"/>
    <sheet name="REGIDORES" sheetId="210" r:id="rId2"/>
    <sheet name="BASE" sheetId="205" r:id="rId3"/>
    <sheet name="EVENTUALES" sheetId="206" r:id="rId4"/>
    <sheet name="PENSIONADOS" sheetId="203" r:id="rId5"/>
    <sheet name="Apoyos" sheetId="211" r:id="rId6"/>
    <sheet name="SEG. PUBLICA" sheetId="207" r:id="rId7"/>
    <sheet name="PROT.CIVIL" sheetId="208" r:id="rId8"/>
    <sheet name="Calculo ISPT 2018 quincenal" sheetId="68" r:id="rId9"/>
  </sheets>
  <definedNames>
    <definedName name="_Regression_Int" localSheetId="8" hidden="1">1</definedName>
    <definedName name="_xlnm.Print_Area" localSheetId="2">BASE!$B$1:$AJ$118</definedName>
    <definedName name="_xlnm.Print_Area" localSheetId="3">EVENTUALES!$B$2:$AJ$169</definedName>
    <definedName name="_xlnm.Print_Area" localSheetId="4">PENSIONADOS!$B$1:$AJ$36</definedName>
    <definedName name="_xlnm.Print_Area" localSheetId="7">PROT.CIVIL!$B$1:$AJ$36</definedName>
    <definedName name="_xlnm.Print_Area" localSheetId="1">REGIDORES!$B$1:$AJ$34</definedName>
    <definedName name="_xlnm.Print_Area" localSheetId="6">'SEG. PUBLICA'!$B$2:$AJ$41</definedName>
    <definedName name="Credito1">'Calculo ISPT 2018 quincenal'!$AG$17:$AH$27</definedName>
    <definedName name="TARIFA1">'Calculo ISPT 2018 quincenal'!$Y$17:$AA$27</definedName>
    <definedName name="_xlnm.Print_Titles" localSheetId="6">'SEG. PUBLICA'!$2:$10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08" l="1"/>
  <c r="H24" i="208"/>
  <c r="H36" i="205" l="1"/>
  <c r="H99" i="206"/>
  <c r="O99" i="206" s="1"/>
  <c r="H73" i="206"/>
  <c r="AH73" i="206"/>
  <c r="R99" i="206" l="1"/>
  <c r="Y99" i="206" l="1"/>
  <c r="W99" i="206"/>
  <c r="U99" i="206"/>
  <c r="S99" i="206"/>
  <c r="T99" i="206" s="1"/>
  <c r="V99" i="206" s="1"/>
  <c r="X99" i="206" s="1"/>
  <c r="Z99" i="206" s="1"/>
  <c r="AB99" i="206" l="1"/>
  <c r="AI99" i="206" s="1"/>
  <c r="AC99" i="206"/>
  <c r="AH99" i="206" s="1"/>
  <c r="H116" i="206" l="1"/>
  <c r="H136" i="206" l="1"/>
  <c r="I109" i="206"/>
  <c r="J109" i="206"/>
  <c r="K109" i="206"/>
  <c r="L109" i="206"/>
  <c r="M109" i="206"/>
  <c r="N109" i="206"/>
  <c r="P109" i="206"/>
  <c r="Q109" i="206"/>
  <c r="AA109" i="206"/>
  <c r="AE109" i="206"/>
  <c r="AG109" i="206"/>
  <c r="H108" i="206"/>
  <c r="R108" i="206" s="1"/>
  <c r="Y108" i="206" s="1"/>
  <c r="H23" i="207"/>
  <c r="H12" i="207"/>
  <c r="O12" i="207" s="1"/>
  <c r="Q12" i="207"/>
  <c r="Q25" i="207"/>
  <c r="H25" i="207"/>
  <c r="H26" i="207"/>
  <c r="O26" i="207" s="1"/>
  <c r="Q26" i="207"/>
  <c r="O108" i="206" l="1"/>
  <c r="S108" i="206"/>
  <c r="T108" i="206" s="1"/>
  <c r="U108" i="206"/>
  <c r="W108" i="206"/>
  <c r="R25" i="207"/>
  <c r="Y25" i="207" s="1"/>
  <c r="AB25" i="207" s="1"/>
  <c r="O25" i="207"/>
  <c r="R12" i="207"/>
  <c r="R26" i="207"/>
  <c r="V108" i="206" l="1"/>
  <c r="X108" i="206" s="1"/>
  <c r="Z108" i="206" s="1"/>
  <c r="AC108" i="206" s="1"/>
  <c r="AH108" i="206" s="1"/>
  <c r="U25" i="207"/>
  <c r="W25" i="207"/>
  <c r="S25" i="207"/>
  <c r="T25" i="207" s="1"/>
  <c r="V25" i="207" s="1"/>
  <c r="S12" i="207"/>
  <c r="T12" i="207" s="1"/>
  <c r="U12" i="207"/>
  <c r="W12" i="207"/>
  <c r="Y12" i="207"/>
  <c r="AB12" i="207" s="1"/>
  <c r="S26" i="207"/>
  <c r="T26" i="207" s="1"/>
  <c r="U26" i="207"/>
  <c r="W26" i="207"/>
  <c r="Y26" i="207"/>
  <c r="AB26" i="207" s="1"/>
  <c r="AB108" i="206" l="1"/>
  <c r="AI108" i="206" s="1"/>
  <c r="X25" i="207"/>
  <c r="Z25" i="207" s="1"/>
  <c r="AC25" i="207" s="1"/>
  <c r="AH25" i="207" s="1"/>
  <c r="AI25" i="207" s="1"/>
  <c r="V12" i="207"/>
  <c r="X12" i="207" s="1"/>
  <c r="Z12" i="207" s="1"/>
  <c r="AC12" i="207" s="1"/>
  <c r="AH12" i="207" s="1"/>
  <c r="AI12" i="207" s="1"/>
  <c r="V26" i="207"/>
  <c r="X26" i="207" s="1"/>
  <c r="Z26" i="207" s="1"/>
  <c r="AC26" i="207" s="1"/>
  <c r="AH26" i="207" s="1"/>
  <c r="AI26" i="207" s="1"/>
  <c r="O23" i="207" l="1"/>
  <c r="Q23" i="207"/>
  <c r="R23" i="207" l="1"/>
  <c r="Y23" i="207" s="1"/>
  <c r="AB23" i="207" s="1"/>
  <c r="U23" i="207" l="1"/>
  <c r="W23" i="207"/>
  <c r="S23" i="207"/>
  <c r="T23" i="207" s="1"/>
  <c r="V23" i="207" l="1"/>
  <c r="X23" i="207" s="1"/>
  <c r="Z23" i="207" s="1"/>
  <c r="AC23" i="207" s="1"/>
  <c r="AH23" i="207" s="1"/>
  <c r="AI23" i="207" s="1"/>
  <c r="O24" i="210"/>
  <c r="Q24" i="210"/>
  <c r="R24" i="210" s="1"/>
  <c r="H13" i="208"/>
  <c r="H14" i="208"/>
  <c r="H15" i="208"/>
  <c r="H16" i="208"/>
  <c r="H17" i="208"/>
  <c r="H18" i="208"/>
  <c r="H19" i="208"/>
  <c r="H20" i="208"/>
  <c r="H21" i="208"/>
  <c r="H22" i="208"/>
  <c r="H23" i="208"/>
  <c r="H26" i="208"/>
  <c r="H27" i="208"/>
  <c r="H28" i="208"/>
  <c r="H12" i="208"/>
  <c r="H13" i="207"/>
  <c r="O13" i="207" s="1"/>
  <c r="Q13" i="207"/>
  <c r="H14" i="207"/>
  <c r="O14" i="207" s="1"/>
  <c r="Q14" i="207"/>
  <c r="H15" i="207"/>
  <c r="O15" i="207" s="1"/>
  <c r="Q15" i="207"/>
  <c r="H16" i="207"/>
  <c r="O16" i="207" s="1"/>
  <c r="Q16" i="207"/>
  <c r="H17" i="207"/>
  <c r="O17" i="207" s="1"/>
  <c r="Q17" i="207"/>
  <c r="H18" i="207"/>
  <c r="O18" i="207" s="1"/>
  <c r="Q18" i="207"/>
  <c r="H19" i="207"/>
  <c r="O19" i="207" s="1"/>
  <c r="Q19" i="207"/>
  <c r="H20" i="207"/>
  <c r="O20" i="207" s="1"/>
  <c r="Q20" i="207"/>
  <c r="H21" i="207"/>
  <c r="O21" i="207" s="1"/>
  <c r="Q21" i="207"/>
  <c r="H22" i="207"/>
  <c r="O22" i="207" s="1"/>
  <c r="Q22" i="207"/>
  <c r="H24" i="207"/>
  <c r="O24" i="207" s="1"/>
  <c r="Q24" i="207"/>
  <c r="H27" i="207"/>
  <c r="O27" i="207" s="1"/>
  <c r="Q27" i="207"/>
  <c r="H28" i="207"/>
  <c r="O28" i="207" s="1"/>
  <c r="Q28" i="207"/>
  <c r="H29" i="207"/>
  <c r="O29" i="207" s="1"/>
  <c r="Q29" i="207"/>
  <c r="H30" i="207"/>
  <c r="O30" i="207" s="1"/>
  <c r="Q30" i="207"/>
  <c r="H31" i="207"/>
  <c r="O31" i="207" s="1"/>
  <c r="Q31" i="207"/>
  <c r="H32" i="207"/>
  <c r="O32" i="207" s="1"/>
  <c r="Q32" i="207"/>
  <c r="H11" i="207"/>
  <c r="H13" i="206"/>
  <c r="I163" i="206"/>
  <c r="J163" i="206"/>
  <c r="K163" i="206"/>
  <c r="L163" i="206"/>
  <c r="M163" i="206"/>
  <c r="N163" i="206"/>
  <c r="P163" i="206"/>
  <c r="Q163" i="206"/>
  <c r="AA163" i="206"/>
  <c r="AD163" i="206"/>
  <c r="AE163" i="206"/>
  <c r="AF163" i="206"/>
  <c r="AG163" i="206"/>
  <c r="H162" i="206"/>
  <c r="H161" i="206"/>
  <c r="H163" i="206" s="1"/>
  <c r="H158" i="206"/>
  <c r="H155" i="206"/>
  <c r="H152" i="206"/>
  <c r="H137" i="206"/>
  <c r="H138" i="206"/>
  <c r="H139" i="206"/>
  <c r="H130" i="206"/>
  <c r="H131" i="206"/>
  <c r="H132" i="206"/>
  <c r="H133" i="206"/>
  <c r="H129" i="206"/>
  <c r="H112" i="206"/>
  <c r="H113" i="206"/>
  <c r="H114" i="206"/>
  <c r="H115" i="206"/>
  <c r="H117" i="206"/>
  <c r="H118" i="206"/>
  <c r="H119" i="206"/>
  <c r="H120" i="206"/>
  <c r="H121" i="206"/>
  <c r="H122" i="206"/>
  <c r="H123" i="206"/>
  <c r="H124" i="206"/>
  <c r="H125" i="206"/>
  <c r="H126" i="206"/>
  <c r="H111" i="206"/>
  <c r="H95" i="206"/>
  <c r="H96" i="206"/>
  <c r="H97" i="206"/>
  <c r="H98" i="206"/>
  <c r="H100" i="206"/>
  <c r="H101" i="206"/>
  <c r="H102" i="206"/>
  <c r="H103" i="206"/>
  <c r="H104" i="206"/>
  <c r="H105" i="206"/>
  <c r="H106" i="206"/>
  <c r="H107" i="206"/>
  <c r="H94" i="206"/>
  <c r="H109" i="206" s="1"/>
  <c r="I92" i="206"/>
  <c r="J92" i="206"/>
  <c r="K92" i="206"/>
  <c r="L92" i="206"/>
  <c r="M92" i="206"/>
  <c r="N92" i="206"/>
  <c r="P92" i="206"/>
  <c r="Q92" i="206"/>
  <c r="AA92" i="206"/>
  <c r="AD92" i="206"/>
  <c r="AE92" i="206"/>
  <c r="AF92" i="206"/>
  <c r="AG92" i="206"/>
  <c r="H83" i="206"/>
  <c r="H82" i="206"/>
  <c r="H71" i="206"/>
  <c r="H72" i="206"/>
  <c r="H74" i="206"/>
  <c r="H75" i="206"/>
  <c r="H76" i="206"/>
  <c r="H77" i="206"/>
  <c r="H78" i="206"/>
  <c r="H79" i="206"/>
  <c r="H70" i="206"/>
  <c r="H64" i="206"/>
  <c r="H65" i="206"/>
  <c r="H66" i="206"/>
  <c r="H67" i="206"/>
  <c r="H63" i="206"/>
  <c r="H40" i="206"/>
  <c r="H41" i="206"/>
  <c r="H42" i="206"/>
  <c r="H43" i="206"/>
  <c r="H44" i="206"/>
  <c r="H45" i="206"/>
  <c r="H39" i="206"/>
  <c r="H33" i="206"/>
  <c r="H34" i="206"/>
  <c r="H35" i="206"/>
  <c r="H36" i="206"/>
  <c r="H32" i="206"/>
  <c r="H28" i="206"/>
  <c r="H29" i="206"/>
  <c r="H27" i="206"/>
  <c r="H24" i="206"/>
  <c r="H14" i="206"/>
  <c r="H15" i="206"/>
  <c r="H16" i="206"/>
  <c r="H17" i="206"/>
  <c r="H18" i="206"/>
  <c r="H19" i="206"/>
  <c r="H20" i="206"/>
  <c r="H21" i="206"/>
  <c r="H14" i="205"/>
  <c r="H105" i="205"/>
  <c r="H104" i="205"/>
  <c r="H101" i="205"/>
  <c r="H98" i="205"/>
  <c r="H97" i="205"/>
  <c r="H96" i="205"/>
  <c r="H93" i="205"/>
  <c r="H92" i="205"/>
  <c r="H89" i="205"/>
  <c r="H86" i="205"/>
  <c r="H85" i="205"/>
  <c r="H81" i="205"/>
  <c r="H82" i="205"/>
  <c r="H80" i="205"/>
  <c r="H77" i="205"/>
  <c r="H76" i="205"/>
  <c r="H73" i="205"/>
  <c r="H67" i="205"/>
  <c r="H68" i="205"/>
  <c r="H69" i="205"/>
  <c r="H70" i="205"/>
  <c r="H66" i="205"/>
  <c r="H65" i="205"/>
  <c r="H62" i="205"/>
  <c r="H61" i="205"/>
  <c r="H55" i="205"/>
  <c r="H54" i="205"/>
  <c r="H51" i="205"/>
  <c r="H50" i="205"/>
  <c r="H47" i="205"/>
  <c r="H46" i="205"/>
  <c r="H43" i="205"/>
  <c r="H42" i="205"/>
  <c r="H41" i="205"/>
  <c r="H40" i="205"/>
  <c r="H39" i="205"/>
  <c r="H35" i="205"/>
  <c r="H30" i="205"/>
  <c r="H31" i="205"/>
  <c r="H32" i="205"/>
  <c r="H29" i="205"/>
  <c r="H26" i="205"/>
  <c r="H25" i="205"/>
  <c r="H22" i="205"/>
  <c r="H15" i="205"/>
  <c r="H16" i="205"/>
  <c r="H17" i="205"/>
  <c r="H18" i="205"/>
  <c r="H19" i="205"/>
  <c r="H92" i="206" l="1"/>
  <c r="R19" i="207"/>
  <c r="S19" i="207" s="1"/>
  <c r="R30" i="207"/>
  <c r="Y30" i="207" s="1"/>
  <c r="R24" i="207"/>
  <c r="S24" i="207" s="1"/>
  <c r="T24" i="207" s="1"/>
  <c r="R21" i="207"/>
  <c r="S21" i="207" s="1"/>
  <c r="R20" i="207"/>
  <c r="S20" i="207" s="1"/>
  <c r="R31" i="207"/>
  <c r="S31" i="207" s="1"/>
  <c r="T31" i="207" s="1"/>
  <c r="R15" i="207"/>
  <c r="W15" i="207" s="1"/>
  <c r="R14" i="207"/>
  <c r="W14" i="207" s="1"/>
  <c r="R13" i="207"/>
  <c r="W13" i="207" s="1"/>
  <c r="R27" i="207"/>
  <c r="W27" i="207" s="1"/>
  <c r="R17" i="207"/>
  <c r="W17" i="207" s="1"/>
  <c r="R16" i="207"/>
  <c r="W16" i="207" s="1"/>
  <c r="R28" i="207"/>
  <c r="S28" i="207" s="1"/>
  <c r="R22" i="207"/>
  <c r="W22" i="207" s="1"/>
  <c r="R18" i="207"/>
  <c r="W18" i="207" s="1"/>
  <c r="U24" i="210"/>
  <c r="Y24" i="210"/>
  <c r="S24" i="210"/>
  <c r="T24" i="210" s="1"/>
  <c r="V24" i="210" s="1"/>
  <c r="W24" i="210"/>
  <c r="R32" i="207"/>
  <c r="W32" i="207" s="1"/>
  <c r="R29" i="207"/>
  <c r="S29" i="207" s="1"/>
  <c r="T29" i="207" s="1"/>
  <c r="S22" i="207"/>
  <c r="T22" i="207" s="1"/>
  <c r="W20" i="207"/>
  <c r="S13" i="207"/>
  <c r="T13" i="207" s="1"/>
  <c r="W19" i="207"/>
  <c r="U19" i="207"/>
  <c r="Q73" i="206"/>
  <c r="R73" i="206" s="1"/>
  <c r="Y73" i="206" s="1"/>
  <c r="O73" i="206"/>
  <c r="AI73" i="206" s="1"/>
  <c r="U15" i="207" l="1"/>
  <c r="Y24" i="207"/>
  <c r="AB24" i="207" s="1"/>
  <c r="U17" i="207"/>
  <c r="U32" i="207"/>
  <c r="U21" i="207"/>
  <c r="W31" i="207"/>
  <c r="S15" i="207"/>
  <c r="T15" i="207" s="1"/>
  <c r="W24" i="207"/>
  <c r="U13" i="207"/>
  <c r="U20" i="207"/>
  <c r="S16" i="207"/>
  <c r="T16" i="207" s="1"/>
  <c r="Y19" i="207"/>
  <c r="AB19" i="207" s="1"/>
  <c r="T19" i="207"/>
  <c r="U27" i="207"/>
  <c r="W28" i="207"/>
  <c r="S18" i="207"/>
  <c r="T18" i="207" s="1"/>
  <c r="Y15" i="207"/>
  <c r="AB15" i="207" s="1"/>
  <c r="U24" i="207"/>
  <c r="V24" i="207" s="1"/>
  <c r="Y29" i="207"/>
  <c r="AB29" i="207" s="1"/>
  <c r="Y13" i="207"/>
  <c r="AB13" i="207" s="1"/>
  <c r="Y20" i="207"/>
  <c r="AB20" i="207" s="1"/>
  <c r="T20" i="207"/>
  <c r="Y16" i="207"/>
  <c r="AB16" i="207" s="1"/>
  <c r="W21" i="207"/>
  <c r="W30" i="207"/>
  <c r="Y14" i="207"/>
  <c r="AB14" i="207" s="1"/>
  <c r="S14" i="207"/>
  <c r="T14" i="207" s="1"/>
  <c r="S17" i="207"/>
  <c r="T17" i="207" s="1"/>
  <c r="V17" i="207" s="1"/>
  <c r="X17" i="207" s="1"/>
  <c r="Y21" i="207"/>
  <c r="AB21" i="207" s="1"/>
  <c r="T21" i="207"/>
  <c r="V21" i="207" s="1"/>
  <c r="S27" i="207"/>
  <c r="T27" i="207" s="1"/>
  <c r="Y31" i="207"/>
  <c r="AB31" i="207" s="1"/>
  <c r="U28" i="207"/>
  <c r="U30" i="207"/>
  <c r="S30" i="207"/>
  <c r="T30" i="207" s="1"/>
  <c r="S32" i="207"/>
  <c r="T32" i="207" s="1"/>
  <c r="V32" i="207" s="1"/>
  <c r="X32" i="207" s="1"/>
  <c r="U18" i="207"/>
  <c r="U14" i="207"/>
  <c r="Y17" i="207"/>
  <c r="AB17" i="207" s="1"/>
  <c r="V19" i="207"/>
  <c r="X19" i="207" s="1"/>
  <c r="Y27" i="207"/>
  <c r="AB27" i="207" s="1"/>
  <c r="U31" i="207"/>
  <c r="V31" i="207" s="1"/>
  <c r="X31" i="207" s="1"/>
  <c r="Y28" i="207"/>
  <c r="AB28" i="207" s="1"/>
  <c r="T28" i="207"/>
  <c r="Y32" i="207"/>
  <c r="AB32" i="207" s="1"/>
  <c r="Y18" i="207"/>
  <c r="AB18" i="207" s="1"/>
  <c r="U16" i="207"/>
  <c r="V16" i="207" s="1"/>
  <c r="X16" i="207" s="1"/>
  <c r="U22" i="207"/>
  <c r="V22" i="207" s="1"/>
  <c r="X22" i="207" s="1"/>
  <c r="W29" i="207"/>
  <c r="Y22" i="207"/>
  <c r="AB22" i="207" s="1"/>
  <c r="V15" i="207"/>
  <c r="X15" i="207" s="1"/>
  <c r="U29" i="207"/>
  <c r="V29" i="207" s="1"/>
  <c r="V13" i="207"/>
  <c r="X13" i="207" s="1"/>
  <c r="X24" i="210"/>
  <c r="Z24" i="210" s="1"/>
  <c r="AB24" i="210"/>
  <c r="AC24" i="210"/>
  <c r="AH24" i="210" s="1"/>
  <c r="S73" i="206"/>
  <c r="T73" i="206" s="1"/>
  <c r="U73" i="206"/>
  <c r="W73" i="206"/>
  <c r="Z31" i="207" l="1"/>
  <c r="AC31" i="207" s="1"/>
  <c r="AH31" i="207" s="1"/>
  <c r="AI31" i="207" s="1"/>
  <c r="X21" i="207"/>
  <c r="Z21" i="207" s="1"/>
  <c r="AC21" i="207" s="1"/>
  <c r="AH21" i="207" s="1"/>
  <c r="AI21" i="207" s="1"/>
  <c r="V27" i="207"/>
  <c r="X27" i="207" s="1"/>
  <c r="Z27" i="207" s="1"/>
  <c r="AC27" i="207" s="1"/>
  <c r="AH27" i="207" s="1"/>
  <c r="AI27" i="207" s="1"/>
  <c r="Z15" i="207"/>
  <c r="AC15" i="207" s="1"/>
  <c r="AH15" i="207" s="1"/>
  <c r="AI15" i="207" s="1"/>
  <c r="Z16" i="207"/>
  <c r="AC16" i="207" s="1"/>
  <c r="AH16" i="207" s="1"/>
  <c r="AI16" i="207" s="1"/>
  <c r="V28" i="207"/>
  <c r="X28" i="207" s="1"/>
  <c r="Z28" i="207" s="1"/>
  <c r="AC28" i="207" s="1"/>
  <c r="AH28" i="207" s="1"/>
  <c r="AI28" i="207" s="1"/>
  <c r="V20" i="207"/>
  <c r="X20" i="207" s="1"/>
  <c r="Z20" i="207" s="1"/>
  <c r="AC20" i="207" s="1"/>
  <c r="AH20" i="207" s="1"/>
  <c r="AI20" i="207" s="1"/>
  <c r="X24" i="207"/>
  <c r="Z24" i="207" s="1"/>
  <c r="AC24" i="207" s="1"/>
  <c r="AH24" i="207" s="1"/>
  <c r="AI24" i="207" s="1"/>
  <c r="Z19" i="207"/>
  <c r="AC19" i="207" s="1"/>
  <c r="AH19" i="207" s="1"/>
  <c r="AI19" i="207" s="1"/>
  <c r="V14" i="207"/>
  <c r="X14" i="207" s="1"/>
  <c r="Z14" i="207" s="1"/>
  <c r="AC14" i="207" s="1"/>
  <c r="AH14" i="207" s="1"/>
  <c r="AI14" i="207" s="1"/>
  <c r="Z32" i="207"/>
  <c r="AC32" i="207" s="1"/>
  <c r="AH32" i="207" s="1"/>
  <c r="AI32" i="207" s="1"/>
  <c r="V18" i="207"/>
  <c r="X18" i="207" s="1"/>
  <c r="Z13" i="207"/>
  <c r="AC13" i="207" s="1"/>
  <c r="AH13" i="207" s="1"/>
  <c r="AI13" i="207" s="1"/>
  <c r="Z18" i="207"/>
  <c r="AC18" i="207" s="1"/>
  <c r="AH18" i="207" s="1"/>
  <c r="AI18" i="207" s="1"/>
  <c r="V30" i="207"/>
  <c r="X30" i="207" s="1"/>
  <c r="Z30" i="207" s="1"/>
  <c r="AC30" i="207" s="1"/>
  <c r="AH30" i="207" s="1"/>
  <c r="AI30" i="207" s="1"/>
  <c r="Z17" i="207"/>
  <c r="AC17" i="207" s="1"/>
  <c r="AH17" i="207" s="1"/>
  <c r="AI17" i="207" s="1"/>
  <c r="Z22" i="207"/>
  <c r="AC22" i="207" s="1"/>
  <c r="AH22" i="207" s="1"/>
  <c r="AI22" i="207" s="1"/>
  <c r="X29" i="207"/>
  <c r="Z29" i="207" s="1"/>
  <c r="AC29" i="207" s="1"/>
  <c r="AH29" i="207" s="1"/>
  <c r="AI29" i="207" s="1"/>
  <c r="AI24" i="210"/>
  <c r="V73" i="206"/>
  <c r="X73" i="206" s="1"/>
  <c r="Z73" i="206" s="1"/>
  <c r="O11" i="207"/>
  <c r="Q11" i="207"/>
  <c r="R11" i="207" l="1"/>
  <c r="S11" i="207" s="1"/>
  <c r="T11" i="207" s="1"/>
  <c r="O162" i="206"/>
  <c r="Y11" i="207" l="1"/>
  <c r="U11" i="207"/>
  <c r="V11" i="207" s="1"/>
  <c r="R162" i="206"/>
  <c r="W11" i="207"/>
  <c r="G10" i="211"/>
  <c r="G16" i="211"/>
  <c r="X11" i="207" l="1"/>
  <c r="Y162" i="206"/>
  <c r="W162" i="206"/>
  <c r="U162" i="206"/>
  <c r="S162" i="206"/>
  <c r="T162" i="206" s="1"/>
  <c r="V162" i="206" l="1"/>
  <c r="X162" i="206" s="1"/>
  <c r="Z162" i="206" s="1"/>
  <c r="AB162" i="206" s="1"/>
  <c r="AC162" i="206" l="1"/>
  <c r="AH162" i="206" s="1"/>
  <c r="AI162" i="206" s="1"/>
  <c r="O137" i="206" l="1"/>
  <c r="I140" i="206" l="1"/>
  <c r="J140" i="206"/>
  <c r="K140" i="206"/>
  <c r="L140" i="206"/>
  <c r="M140" i="206"/>
  <c r="N140" i="206"/>
  <c r="P140" i="206"/>
  <c r="AA140" i="206"/>
  <c r="AD140" i="206"/>
  <c r="AE140" i="206"/>
  <c r="AF140" i="206"/>
  <c r="AG140" i="206"/>
  <c r="Q36" i="206" l="1"/>
  <c r="I37" i="206"/>
  <c r="J37" i="206"/>
  <c r="K37" i="206"/>
  <c r="L37" i="206"/>
  <c r="M37" i="206"/>
  <c r="N37" i="206"/>
  <c r="P37" i="206"/>
  <c r="AA37" i="206"/>
  <c r="AD37" i="206"/>
  <c r="AE37" i="206"/>
  <c r="AF37" i="206"/>
  <c r="AG37" i="206"/>
  <c r="O36" i="206"/>
  <c r="R36" i="206" l="1"/>
  <c r="W36" i="206" s="1"/>
  <c r="G54" i="211"/>
  <c r="G21" i="211"/>
  <c r="U36" i="206" l="1"/>
  <c r="Y36" i="206"/>
  <c r="S36" i="206"/>
  <c r="T36" i="206" s="1"/>
  <c r="V36" i="206" l="1"/>
  <c r="X36" i="206" l="1"/>
  <c r="Z36" i="206" l="1"/>
  <c r="H108" i="205"/>
  <c r="H58" i="205"/>
  <c r="H52" i="205"/>
  <c r="O35" i="206"/>
  <c r="H37" i="206" l="1"/>
  <c r="H140" i="206"/>
  <c r="AC36" i="206"/>
  <c r="AB36" i="206"/>
  <c r="R161" i="206"/>
  <c r="R163" i="206" s="1"/>
  <c r="O161" i="206"/>
  <c r="O163" i="206" s="1"/>
  <c r="AH36" i="206" l="1"/>
  <c r="S161" i="206"/>
  <c r="S163" i="206" s="1"/>
  <c r="U161" i="206"/>
  <c r="U163" i="206" s="1"/>
  <c r="W161" i="206"/>
  <c r="W163" i="206" s="1"/>
  <c r="Y161" i="206"/>
  <c r="Y163" i="206" s="1"/>
  <c r="AD94" i="206"/>
  <c r="AD109" i="206" s="1"/>
  <c r="O138" i="206"/>
  <c r="O139" i="206"/>
  <c r="O130" i="206"/>
  <c r="O131" i="206"/>
  <c r="O132" i="206"/>
  <c r="O133" i="206"/>
  <c r="O129" i="206"/>
  <c r="O65" i="206"/>
  <c r="O66" i="206"/>
  <c r="O67" i="206"/>
  <c r="O34" i="206"/>
  <c r="AI36" i="206" l="1"/>
  <c r="T161" i="206"/>
  <c r="T163" i="206" s="1"/>
  <c r="O78" i="206"/>
  <c r="V161" i="206" l="1"/>
  <c r="V163" i="206" s="1"/>
  <c r="B9" i="205"/>
  <c r="X161" i="206" l="1"/>
  <c r="Z161" i="206" l="1"/>
  <c r="AB161" i="206" s="1"/>
  <c r="AB163" i="206" s="1"/>
  <c r="X163" i="206"/>
  <c r="AC161" i="206" l="1"/>
  <c r="Z163" i="206"/>
  <c r="R96" i="205"/>
  <c r="Y96" i="205" s="1"/>
  <c r="O96" i="205"/>
  <c r="AC163" i="206" l="1"/>
  <c r="AH161" i="206"/>
  <c r="S96" i="205"/>
  <c r="T96" i="205" s="1"/>
  <c r="U96" i="205"/>
  <c r="W96" i="205"/>
  <c r="AH163" i="206" l="1"/>
  <c r="AI161" i="206"/>
  <c r="AI163" i="206" s="1"/>
  <c r="V96" i="205"/>
  <c r="X96" i="205" s="1"/>
  <c r="Z96" i="205" s="1"/>
  <c r="I30" i="208"/>
  <c r="J30" i="208"/>
  <c r="K30" i="208"/>
  <c r="L30" i="208"/>
  <c r="M30" i="208"/>
  <c r="N30" i="208"/>
  <c r="P30" i="208"/>
  <c r="AA30" i="208"/>
  <c r="AD30" i="208"/>
  <c r="AE30" i="208"/>
  <c r="AF30" i="208"/>
  <c r="AG30" i="208"/>
  <c r="Q27" i="208"/>
  <c r="R27" i="208" s="1"/>
  <c r="Q28" i="208"/>
  <c r="R28" i="208" s="1"/>
  <c r="O27" i="208"/>
  <c r="O28" i="208"/>
  <c r="Y28" i="208" l="1"/>
  <c r="W28" i="208"/>
  <c r="U28" i="208"/>
  <c r="S28" i="208"/>
  <c r="T28" i="208" s="1"/>
  <c r="Y27" i="208"/>
  <c r="W27" i="208"/>
  <c r="U27" i="208"/>
  <c r="S27" i="208"/>
  <c r="T27" i="208" s="1"/>
  <c r="V27" i="208" s="1"/>
  <c r="X27" i="208" s="1"/>
  <c r="Z27" i="208" s="1"/>
  <c r="AB96" i="205"/>
  <c r="AC96" i="205"/>
  <c r="AH96" i="205" s="1"/>
  <c r="V28" i="208" l="1"/>
  <c r="X28" i="208" s="1"/>
  <c r="Z28" i="208" s="1"/>
  <c r="AC28" i="208" s="1"/>
  <c r="AH28" i="208" s="1"/>
  <c r="AC27" i="208"/>
  <c r="AH27" i="208" s="1"/>
  <c r="AB27" i="208"/>
  <c r="AI96" i="205"/>
  <c r="Q122" i="206"/>
  <c r="R122" i="206" s="1"/>
  <c r="Y122" i="206" s="1"/>
  <c r="O122" i="206"/>
  <c r="AB28" i="208" l="1"/>
  <c r="AI27" i="208"/>
  <c r="AI28" i="208"/>
  <c r="S122" i="206"/>
  <c r="T122" i="206" s="1"/>
  <c r="U122" i="206"/>
  <c r="W122" i="206"/>
  <c r="AG46" i="206"/>
  <c r="P46" i="206"/>
  <c r="AA46" i="206"/>
  <c r="AD46" i="206"/>
  <c r="AE46" i="206"/>
  <c r="AF46" i="206"/>
  <c r="I56" i="205"/>
  <c r="J56" i="205"/>
  <c r="K56" i="205"/>
  <c r="L56" i="205"/>
  <c r="M56" i="205"/>
  <c r="N56" i="205"/>
  <c r="P56" i="205"/>
  <c r="AA56" i="205"/>
  <c r="AD56" i="205"/>
  <c r="AE56" i="205"/>
  <c r="AF56" i="205"/>
  <c r="AG56" i="205"/>
  <c r="H56" i="205"/>
  <c r="I52" i="205"/>
  <c r="J52" i="205"/>
  <c r="K52" i="205"/>
  <c r="L52" i="205"/>
  <c r="M52" i="205"/>
  <c r="N52" i="205"/>
  <c r="P52" i="205"/>
  <c r="AA52" i="205"/>
  <c r="AD52" i="205"/>
  <c r="AE52" i="205"/>
  <c r="AF52" i="205"/>
  <c r="AG52" i="205"/>
  <c r="I48" i="205"/>
  <c r="J48" i="205"/>
  <c r="K48" i="205"/>
  <c r="L48" i="205"/>
  <c r="M48" i="205"/>
  <c r="N48" i="205"/>
  <c r="P48" i="205"/>
  <c r="AA48" i="205"/>
  <c r="AD48" i="205"/>
  <c r="AE48" i="205"/>
  <c r="AF48" i="205"/>
  <c r="AG48" i="205"/>
  <c r="H48" i="205"/>
  <c r="I44" i="205"/>
  <c r="J44" i="205"/>
  <c r="K44" i="205"/>
  <c r="L44" i="205"/>
  <c r="M44" i="205"/>
  <c r="N44" i="205"/>
  <c r="P44" i="205"/>
  <c r="AA44" i="205"/>
  <c r="AD44" i="205"/>
  <c r="AE44" i="205"/>
  <c r="AF44" i="205"/>
  <c r="AG44" i="205"/>
  <c r="H44" i="205"/>
  <c r="I37" i="205"/>
  <c r="J37" i="205"/>
  <c r="K37" i="205"/>
  <c r="L37" i="205"/>
  <c r="M37" i="205"/>
  <c r="N37" i="205"/>
  <c r="P37" i="205"/>
  <c r="AA37" i="205"/>
  <c r="AD37" i="205"/>
  <c r="AE37" i="205"/>
  <c r="AF37" i="205"/>
  <c r="AG37" i="205"/>
  <c r="H37" i="205"/>
  <c r="I33" i="205"/>
  <c r="J33" i="205"/>
  <c r="K33" i="205"/>
  <c r="L33" i="205"/>
  <c r="M33" i="205"/>
  <c r="N33" i="205"/>
  <c r="P33" i="205"/>
  <c r="AA33" i="205"/>
  <c r="AD33" i="205"/>
  <c r="AE33" i="205"/>
  <c r="AF33" i="205"/>
  <c r="AG33" i="205"/>
  <c r="H33" i="205"/>
  <c r="I27" i="205"/>
  <c r="J27" i="205"/>
  <c r="K27" i="205"/>
  <c r="L27" i="205"/>
  <c r="M27" i="205"/>
  <c r="N27" i="205"/>
  <c r="P27" i="205"/>
  <c r="AA27" i="205"/>
  <c r="AD27" i="205"/>
  <c r="AE27" i="205"/>
  <c r="AF27" i="205"/>
  <c r="AG27" i="205"/>
  <c r="H27" i="205"/>
  <c r="I20" i="205"/>
  <c r="J20" i="205"/>
  <c r="K20" i="205"/>
  <c r="L20" i="205"/>
  <c r="M20" i="205"/>
  <c r="N20" i="205"/>
  <c r="P20" i="205"/>
  <c r="AA20" i="205"/>
  <c r="AD20" i="205"/>
  <c r="AE20" i="205"/>
  <c r="AF20" i="205"/>
  <c r="AG20" i="205"/>
  <c r="H20" i="205"/>
  <c r="V122" i="206" l="1"/>
  <c r="X122" i="206" s="1"/>
  <c r="Z122" i="206" s="1"/>
  <c r="AG24" i="203"/>
  <c r="AB24" i="203"/>
  <c r="H24" i="203"/>
  <c r="AA111" i="205"/>
  <c r="AG27" i="210"/>
  <c r="H27" i="210"/>
  <c r="O70" i="205"/>
  <c r="Q70" i="205"/>
  <c r="R70" i="205" s="1"/>
  <c r="AB122" i="206" l="1"/>
  <c r="AC122" i="206"/>
  <c r="AH122" i="206" s="1"/>
  <c r="S70" i="205"/>
  <c r="T70" i="205" s="1"/>
  <c r="U70" i="205"/>
  <c r="W70" i="205"/>
  <c r="Y70" i="205"/>
  <c r="A44" i="211"/>
  <c r="A6" i="211"/>
  <c r="B12" i="203"/>
  <c r="B8" i="206"/>
  <c r="N53" i="211"/>
  <c r="P53" i="211"/>
  <c r="Q53" i="211" s="1"/>
  <c r="R137" i="206"/>
  <c r="R71" i="206"/>
  <c r="W71" i="206" s="1"/>
  <c r="O71" i="206"/>
  <c r="O72" i="206"/>
  <c r="Q72" i="206"/>
  <c r="R72" i="206" s="1"/>
  <c r="AF24" i="203"/>
  <c r="AE24" i="203"/>
  <c r="AD24" i="203"/>
  <c r="N24" i="203"/>
  <c r="M24" i="203"/>
  <c r="L24" i="203"/>
  <c r="K24" i="203"/>
  <c r="I24" i="203"/>
  <c r="W137" i="206" l="1"/>
  <c r="AI122" i="206"/>
  <c r="S71" i="206"/>
  <c r="T71" i="206" s="1"/>
  <c r="V70" i="205"/>
  <c r="X70" i="205" s="1"/>
  <c r="Z70" i="205" s="1"/>
  <c r="AC70" i="205" s="1"/>
  <c r="AH70" i="205" s="1"/>
  <c r="U71" i="206"/>
  <c r="Y71" i="206"/>
  <c r="Y137" i="206"/>
  <c r="S137" i="206"/>
  <c r="U137" i="206"/>
  <c r="S72" i="206"/>
  <c r="T72" i="206" s="1"/>
  <c r="U72" i="206"/>
  <c r="W72" i="206"/>
  <c r="Y72" i="206"/>
  <c r="T137" i="206" l="1"/>
  <c r="AB70" i="205"/>
  <c r="AI70" i="205" s="1"/>
  <c r="V71" i="206"/>
  <c r="X71" i="206" s="1"/>
  <c r="Z71" i="206" s="1"/>
  <c r="V72" i="206"/>
  <c r="X72" i="206" s="1"/>
  <c r="Z72" i="206" s="1"/>
  <c r="AC72" i="206" s="1"/>
  <c r="AH72" i="206" s="1"/>
  <c r="Q15" i="210"/>
  <c r="O15" i="210"/>
  <c r="O16" i="210"/>
  <c r="O19" i="210"/>
  <c r="AG159" i="206"/>
  <c r="H159" i="206"/>
  <c r="AG134" i="206"/>
  <c r="O134" i="206"/>
  <c r="H134" i="206"/>
  <c r="AG127" i="206"/>
  <c r="H127" i="206"/>
  <c r="AG84" i="206"/>
  <c r="H84" i="206"/>
  <c r="AG80" i="206"/>
  <c r="H80" i="206"/>
  <c r="AG68" i="206"/>
  <c r="H68" i="206"/>
  <c r="H46" i="206"/>
  <c r="AG22" i="206"/>
  <c r="H22" i="206"/>
  <c r="H109" i="205"/>
  <c r="H106" i="205"/>
  <c r="H99" i="205"/>
  <c r="H83" i="205"/>
  <c r="H71" i="205"/>
  <c r="O61" i="205"/>
  <c r="H63" i="205"/>
  <c r="X109" i="205"/>
  <c r="Y109" i="205"/>
  <c r="Z109" i="205"/>
  <c r="R15" i="210" l="1"/>
  <c r="V137" i="206"/>
  <c r="AB72" i="206"/>
  <c r="AI72" i="206" s="1"/>
  <c r="AC71" i="206"/>
  <c r="AH71" i="206" s="1"/>
  <c r="AB71" i="206"/>
  <c r="Y15" i="210"/>
  <c r="W15" i="210"/>
  <c r="U15" i="210"/>
  <c r="S15" i="210"/>
  <c r="T15" i="210" s="1"/>
  <c r="V15" i="210" l="1"/>
  <c r="X15" i="210" s="1"/>
  <c r="Z15" i="210" s="1"/>
  <c r="X137" i="206"/>
  <c r="AI71" i="206"/>
  <c r="AC15" i="210"/>
  <c r="AB15" i="210"/>
  <c r="AH15" i="210" l="1"/>
  <c r="Z137" i="206"/>
  <c r="AI15" i="210"/>
  <c r="AC137" i="206" l="1"/>
  <c r="AB137" i="206"/>
  <c r="Q25" i="208"/>
  <c r="Q26" i="208"/>
  <c r="R26" i="208" s="1"/>
  <c r="U26" i="208" s="1"/>
  <c r="Q14" i="208"/>
  <c r="R14" i="208" s="1"/>
  <c r="Y14" i="208" s="1"/>
  <c r="O14" i="208"/>
  <c r="Q21" i="203"/>
  <c r="Q22" i="203"/>
  <c r="J21" i="203"/>
  <c r="R21" i="203" s="1"/>
  <c r="J22" i="203"/>
  <c r="R158" i="206"/>
  <c r="W158" i="206" s="1"/>
  <c r="R136" i="206"/>
  <c r="R138" i="206"/>
  <c r="S138" i="206" s="1"/>
  <c r="R130" i="206"/>
  <c r="Y130" i="206" s="1"/>
  <c r="R131" i="206"/>
  <c r="S131" i="206" s="1"/>
  <c r="R132" i="206"/>
  <c r="Y132" i="206" s="1"/>
  <c r="R133" i="206"/>
  <c r="S133" i="206" s="1"/>
  <c r="R126" i="206"/>
  <c r="Y126" i="206" s="1"/>
  <c r="R112" i="206"/>
  <c r="Y112" i="206" s="1"/>
  <c r="R96" i="206"/>
  <c r="R97" i="206"/>
  <c r="U97" i="206" s="1"/>
  <c r="R98" i="206"/>
  <c r="U98" i="206" s="1"/>
  <c r="R100" i="206"/>
  <c r="S100" i="206" s="1"/>
  <c r="R101" i="206"/>
  <c r="R102" i="206"/>
  <c r="S102" i="206" s="1"/>
  <c r="R103" i="206"/>
  <c r="W103" i="206" s="1"/>
  <c r="R104" i="206"/>
  <c r="W104" i="206" s="1"/>
  <c r="R105" i="206"/>
  <c r="S105" i="206" s="1"/>
  <c r="T105" i="206" s="1"/>
  <c r="R106" i="206"/>
  <c r="Y106" i="206" s="1"/>
  <c r="R107" i="206"/>
  <c r="W107" i="206" s="1"/>
  <c r="R94" i="206"/>
  <c r="R70" i="206"/>
  <c r="R66" i="206"/>
  <c r="Y66" i="206" s="1"/>
  <c r="R63" i="206"/>
  <c r="R41" i="206"/>
  <c r="R43" i="206"/>
  <c r="Y43" i="206" s="1"/>
  <c r="R44" i="206"/>
  <c r="W44" i="206" s="1"/>
  <c r="R39" i="206"/>
  <c r="Y39" i="206" s="1"/>
  <c r="R28" i="206"/>
  <c r="Y28" i="206" s="1"/>
  <c r="Q124" i="206"/>
  <c r="R124" i="206" s="1"/>
  <c r="Y124" i="206" s="1"/>
  <c r="Q125" i="206"/>
  <c r="R125" i="206" s="1"/>
  <c r="Y125" i="206" s="1"/>
  <c r="Q115" i="206"/>
  <c r="R115" i="206" s="1"/>
  <c r="Y115" i="206" s="1"/>
  <c r="Q116" i="206"/>
  <c r="R116" i="206" s="1"/>
  <c r="Y116" i="206" s="1"/>
  <c r="Q117" i="206"/>
  <c r="R117" i="206" s="1"/>
  <c r="S117" i="206" s="1"/>
  <c r="Q118" i="206"/>
  <c r="R118" i="206" s="1"/>
  <c r="S118" i="206" s="1"/>
  <c r="Q83" i="206"/>
  <c r="R83" i="206" s="1"/>
  <c r="Q76" i="206"/>
  <c r="R76" i="206" s="1"/>
  <c r="Q33" i="206"/>
  <c r="R33" i="206" s="1"/>
  <c r="Y33" i="206" s="1"/>
  <c r="Q34" i="206"/>
  <c r="R34" i="206" s="1"/>
  <c r="Q35" i="206"/>
  <c r="R35" i="206" s="1"/>
  <c r="Y35" i="206" s="1"/>
  <c r="Q27" i="206"/>
  <c r="Q14" i="206"/>
  <c r="R14" i="206" s="1"/>
  <c r="Y14" i="206" s="1"/>
  <c r="Q15" i="206"/>
  <c r="R15" i="206" s="1"/>
  <c r="S15" i="206" s="1"/>
  <c r="Q16" i="206"/>
  <c r="R16" i="206" s="1"/>
  <c r="Y16" i="206" s="1"/>
  <c r="Q17" i="206"/>
  <c r="R17" i="206" s="1"/>
  <c r="S17" i="206" s="1"/>
  <c r="Q18" i="206"/>
  <c r="R18" i="206" s="1"/>
  <c r="Y18" i="206" s="1"/>
  <c r="Q19" i="206"/>
  <c r="R19" i="206" s="1"/>
  <c r="S19" i="206" s="1"/>
  <c r="Q20" i="206"/>
  <c r="R20" i="206" s="1"/>
  <c r="Y20" i="206" s="1"/>
  <c r="Q21" i="206"/>
  <c r="R21" i="206" s="1"/>
  <c r="S21" i="206" s="1"/>
  <c r="O158" i="206"/>
  <c r="O159" i="206" s="1"/>
  <c r="O136" i="206"/>
  <c r="O140" i="206" s="1"/>
  <c r="O124" i="206"/>
  <c r="O125" i="206"/>
  <c r="O126" i="206"/>
  <c r="O115" i="206"/>
  <c r="O116" i="206"/>
  <c r="O117" i="206"/>
  <c r="O118" i="206"/>
  <c r="O112" i="206"/>
  <c r="O96" i="206"/>
  <c r="O97" i="206"/>
  <c r="O98" i="206"/>
  <c r="O100" i="206"/>
  <c r="O101" i="206"/>
  <c r="O102" i="206"/>
  <c r="O103" i="206"/>
  <c r="O104" i="206"/>
  <c r="O105" i="206"/>
  <c r="O106" i="206"/>
  <c r="O107" i="206"/>
  <c r="O94" i="206"/>
  <c r="O83" i="206"/>
  <c r="O76" i="206"/>
  <c r="O70" i="206"/>
  <c r="O63" i="206"/>
  <c r="O44" i="206"/>
  <c r="O43" i="206"/>
  <c r="O41" i="206"/>
  <c r="O39" i="206"/>
  <c r="O33" i="206"/>
  <c r="O28" i="206"/>
  <c r="O14" i="206"/>
  <c r="O15" i="206"/>
  <c r="O16" i="206"/>
  <c r="O17" i="206"/>
  <c r="O18" i="206"/>
  <c r="O19" i="206"/>
  <c r="O20" i="206"/>
  <c r="O21" i="206"/>
  <c r="K134" i="206"/>
  <c r="J134" i="206"/>
  <c r="I134" i="206"/>
  <c r="AG83" i="205"/>
  <c r="AF83" i="205"/>
  <c r="AE83" i="205"/>
  <c r="AD83" i="205"/>
  <c r="R108" i="205"/>
  <c r="R105" i="205"/>
  <c r="Y105" i="205" s="1"/>
  <c r="R82" i="205"/>
  <c r="R65" i="205"/>
  <c r="R62" i="205"/>
  <c r="R46" i="205"/>
  <c r="R43" i="205"/>
  <c r="R39" i="205"/>
  <c r="R36" i="205"/>
  <c r="R31" i="205"/>
  <c r="R26" i="205"/>
  <c r="R15" i="205"/>
  <c r="R18" i="205"/>
  <c r="O108" i="205"/>
  <c r="O109" i="205" s="1"/>
  <c r="O104" i="205"/>
  <c r="O105" i="205"/>
  <c r="O81" i="205"/>
  <c r="O82" i="205"/>
  <c r="O65" i="205"/>
  <c r="O62" i="205"/>
  <c r="O63" i="205" s="1"/>
  <c r="O46" i="205"/>
  <c r="O30" i="205"/>
  <c r="O31" i="205"/>
  <c r="O26" i="205"/>
  <c r="O19" i="205"/>
  <c r="O15" i="205"/>
  <c r="O16" i="205"/>
  <c r="O17" i="205"/>
  <c r="O18" i="205"/>
  <c r="N83" i="205"/>
  <c r="M83" i="205"/>
  <c r="L83" i="205"/>
  <c r="K83" i="205"/>
  <c r="J83" i="205"/>
  <c r="I83" i="205"/>
  <c r="R22" i="203" l="1"/>
  <c r="R92" i="206"/>
  <c r="W136" i="206"/>
  <c r="AH137" i="206"/>
  <c r="O106" i="205"/>
  <c r="S26" i="208"/>
  <c r="T26" i="208" s="1"/>
  <c r="V26" i="208" s="1"/>
  <c r="W26" i="208"/>
  <c r="Y26" i="208"/>
  <c r="S14" i="208"/>
  <c r="T14" i="208" s="1"/>
  <c r="U14" i="208"/>
  <c r="W14" i="208"/>
  <c r="Y21" i="203"/>
  <c r="W21" i="203"/>
  <c r="U21" i="203"/>
  <c r="S21" i="203"/>
  <c r="T21" i="203" s="1"/>
  <c r="Y22" i="203"/>
  <c r="W22" i="203"/>
  <c r="U22" i="203"/>
  <c r="S22" i="203"/>
  <c r="T22" i="203" s="1"/>
  <c r="S18" i="205"/>
  <c r="T18" i="205" s="1"/>
  <c r="Y18" i="205"/>
  <c r="S15" i="205"/>
  <c r="T15" i="205" s="1"/>
  <c r="Y15" i="205"/>
  <c r="S31" i="205"/>
  <c r="T31" i="205" s="1"/>
  <c r="Y31" i="205"/>
  <c r="W39" i="205"/>
  <c r="Y39" i="205"/>
  <c r="W46" i="205"/>
  <c r="Y46" i="205"/>
  <c r="W65" i="205"/>
  <c r="Y65" i="205"/>
  <c r="W108" i="205"/>
  <c r="Y108" i="205"/>
  <c r="S26" i="205"/>
  <c r="T26" i="205" s="1"/>
  <c r="Y26" i="205"/>
  <c r="S36" i="205"/>
  <c r="T36" i="205" s="1"/>
  <c r="Y36" i="205"/>
  <c r="W43" i="205"/>
  <c r="Y43" i="205"/>
  <c r="S62" i="205"/>
  <c r="T62" i="205" s="1"/>
  <c r="Y62" i="205"/>
  <c r="W82" i="205"/>
  <c r="Y82" i="205"/>
  <c r="S43" i="205"/>
  <c r="T43" i="205" s="1"/>
  <c r="S65" i="205"/>
  <c r="T65" i="205" s="1"/>
  <c r="S82" i="205"/>
  <c r="T82" i="205" s="1"/>
  <c r="U31" i="205"/>
  <c r="U36" i="205"/>
  <c r="U43" i="205"/>
  <c r="U62" i="205"/>
  <c r="U82" i="205"/>
  <c r="U105" i="205"/>
  <c r="W31" i="205"/>
  <c r="W36" i="205"/>
  <c r="W62" i="205"/>
  <c r="W105" i="205"/>
  <c r="S39" i="205"/>
  <c r="S46" i="205"/>
  <c r="S105" i="205"/>
  <c r="T105" i="205" s="1"/>
  <c r="S108" i="205"/>
  <c r="T108" i="205" s="1"/>
  <c r="T39" i="205"/>
  <c r="U26" i="205"/>
  <c r="U39" i="205"/>
  <c r="U46" i="205"/>
  <c r="U65" i="205"/>
  <c r="U108" i="205"/>
  <c r="W26" i="205"/>
  <c r="Y118" i="206"/>
  <c r="Y131" i="206"/>
  <c r="Y133" i="206"/>
  <c r="Y138" i="206"/>
  <c r="W106" i="206"/>
  <c r="W125" i="206"/>
  <c r="Y104" i="206"/>
  <c r="Y103" i="206"/>
  <c r="W66" i="206"/>
  <c r="W115" i="206"/>
  <c r="Y105" i="206"/>
  <c r="Y107" i="206"/>
  <c r="Y117" i="206"/>
  <c r="Y136" i="206"/>
  <c r="Y158" i="206"/>
  <c r="S34" i="206"/>
  <c r="T34" i="206" s="1"/>
  <c r="Y34" i="206"/>
  <c r="W34" i="206"/>
  <c r="S76" i="206"/>
  <c r="T76" i="206" s="1"/>
  <c r="Y76" i="206"/>
  <c r="S116" i="206"/>
  <c r="T116" i="206" s="1"/>
  <c r="W116" i="206"/>
  <c r="S124" i="206"/>
  <c r="T124" i="206" s="1"/>
  <c r="W124" i="206"/>
  <c r="U124" i="206"/>
  <c r="S41" i="206"/>
  <c r="T41" i="206" s="1"/>
  <c r="Y41" i="206"/>
  <c r="W63" i="206"/>
  <c r="U63" i="206"/>
  <c r="S70" i="206"/>
  <c r="T70" i="206" s="1"/>
  <c r="W70" i="206"/>
  <c r="S112" i="206"/>
  <c r="T112" i="206" s="1"/>
  <c r="W112" i="206"/>
  <c r="S44" i="206"/>
  <c r="T44" i="206" s="1"/>
  <c r="S107" i="206"/>
  <c r="T107" i="206" s="1"/>
  <c r="T19" i="206"/>
  <c r="T15" i="206"/>
  <c r="U70" i="206"/>
  <c r="U107" i="206"/>
  <c r="W97" i="206"/>
  <c r="W131" i="206"/>
  <c r="Y19" i="206"/>
  <c r="Y15" i="206"/>
  <c r="Y44" i="206"/>
  <c r="Y70" i="206"/>
  <c r="Y97" i="206"/>
  <c r="S83" i="206"/>
  <c r="T83" i="206" s="1"/>
  <c r="W83" i="206"/>
  <c r="S94" i="206"/>
  <c r="Y94" i="206"/>
  <c r="W94" i="206"/>
  <c r="Y101" i="206"/>
  <c r="W101" i="206"/>
  <c r="S96" i="206"/>
  <c r="T96" i="206" s="1"/>
  <c r="Y96" i="206"/>
  <c r="W96" i="206"/>
  <c r="S126" i="206"/>
  <c r="T126" i="206" s="1"/>
  <c r="W126" i="206"/>
  <c r="S132" i="206"/>
  <c r="T132" i="206" s="1"/>
  <c r="W132" i="206"/>
  <c r="W130" i="206"/>
  <c r="U130" i="206"/>
  <c r="S63" i="206"/>
  <c r="T63" i="206" s="1"/>
  <c r="S98" i="206"/>
  <c r="T98" i="206" s="1"/>
  <c r="V98" i="206" s="1"/>
  <c r="T21" i="206"/>
  <c r="T17" i="206"/>
  <c r="U41" i="206"/>
  <c r="U112" i="206"/>
  <c r="W41" i="206"/>
  <c r="W76" i="206"/>
  <c r="W98" i="206"/>
  <c r="W117" i="206"/>
  <c r="W118" i="206"/>
  <c r="W133" i="206"/>
  <c r="W138" i="206"/>
  <c r="Y21" i="206"/>
  <c r="Y17" i="206"/>
  <c r="Y63" i="206"/>
  <c r="Y83" i="206"/>
  <c r="Y98" i="206"/>
  <c r="S20" i="206"/>
  <c r="T20" i="206" s="1"/>
  <c r="W20" i="206"/>
  <c r="U20" i="206"/>
  <c r="S16" i="206"/>
  <c r="T16" i="206" s="1"/>
  <c r="S115" i="206"/>
  <c r="T115" i="206" s="1"/>
  <c r="U115" i="206"/>
  <c r="S18" i="206"/>
  <c r="T18" i="206" s="1"/>
  <c r="W18" i="206"/>
  <c r="S14" i="206"/>
  <c r="T14" i="206" s="1"/>
  <c r="S35" i="206"/>
  <c r="T35" i="206" s="1"/>
  <c r="W35" i="206"/>
  <c r="U35" i="206"/>
  <c r="S33" i="206"/>
  <c r="T33" i="206" s="1"/>
  <c r="W33" i="206"/>
  <c r="S125" i="206"/>
  <c r="T125" i="206" s="1"/>
  <c r="U125" i="206"/>
  <c r="W28" i="206"/>
  <c r="U28" i="206"/>
  <c r="S28" i="206"/>
  <c r="T28" i="206" s="1"/>
  <c r="S39" i="206"/>
  <c r="T39" i="206" s="1"/>
  <c r="U39" i="206"/>
  <c r="W39" i="206"/>
  <c r="S43" i="206"/>
  <c r="T43" i="206" s="1"/>
  <c r="W43" i="206"/>
  <c r="S66" i="206"/>
  <c r="T66" i="206" s="1"/>
  <c r="U66" i="206"/>
  <c r="S106" i="206"/>
  <c r="T106" i="206" s="1"/>
  <c r="U106" i="206"/>
  <c r="S104" i="206"/>
  <c r="T104" i="206" s="1"/>
  <c r="U104" i="206"/>
  <c r="S103" i="206"/>
  <c r="T103" i="206" s="1"/>
  <c r="U103" i="206"/>
  <c r="S101" i="206"/>
  <c r="T101" i="206" s="1"/>
  <c r="T117" i="206"/>
  <c r="U43" i="206"/>
  <c r="U83" i="206"/>
  <c r="U94" i="206"/>
  <c r="U101" i="206"/>
  <c r="S136" i="206"/>
  <c r="U136" i="206"/>
  <c r="S158" i="206"/>
  <c r="T158" i="206" s="1"/>
  <c r="U158" i="206"/>
  <c r="S130" i="206"/>
  <c r="T130" i="206" s="1"/>
  <c r="T94" i="206"/>
  <c r="U18" i="206"/>
  <c r="U33" i="206"/>
  <c r="U96" i="206"/>
  <c r="U126" i="206"/>
  <c r="U117" i="206"/>
  <c r="U132" i="206"/>
  <c r="S97" i="206"/>
  <c r="T97" i="206" s="1"/>
  <c r="V97" i="206" s="1"/>
  <c r="T118" i="206"/>
  <c r="T133" i="206"/>
  <c r="T131" i="206"/>
  <c r="T138" i="206"/>
  <c r="U21" i="206"/>
  <c r="U19" i="206"/>
  <c r="U34" i="206"/>
  <c r="U44" i="206"/>
  <c r="U76" i="206"/>
  <c r="U118" i="206"/>
  <c r="U116" i="206"/>
  <c r="U133" i="206"/>
  <c r="U131" i="206"/>
  <c r="U138" i="206"/>
  <c r="W21" i="206"/>
  <c r="W19" i="206"/>
  <c r="U18" i="205"/>
  <c r="U15" i="205"/>
  <c r="W18" i="205"/>
  <c r="W15" i="205"/>
  <c r="V124" i="206" l="1"/>
  <c r="Y92" i="206"/>
  <c r="T136" i="206"/>
  <c r="V136" i="206" s="1"/>
  <c r="AI137" i="206"/>
  <c r="T46" i="205"/>
  <c r="V46" i="205" s="1"/>
  <c r="V14" i="208"/>
  <c r="X14" i="208" s="1"/>
  <c r="Z14" i="208" s="1"/>
  <c r="AB14" i="208" s="1"/>
  <c r="V82" i="205"/>
  <c r="X82" i="205" s="1"/>
  <c r="V31" i="205"/>
  <c r="X31" i="205" s="1"/>
  <c r="V36" i="205"/>
  <c r="X36" i="205" s="1"/>
  <c r="Z36" i="205" s="1"/>
  <c r="AB36" i="205" s="1"/>
  <c r="X26" i="208"/>
  <c r="Z26" i="208" s="1"/>
  <c r="V41" i="206"/>
  <c r="X41" i="206" s="1"/>
  <c r="Z41" i="206" s="1"/>
  <c r="V22" i="203"/>
  <c r="X22" i="203" s="1"/>
  <c r="Z22" i="203" s="1"/>
  <c r="V21" i="203"/>
  <c r="X21" i="203" s="1"/>
  <c r="Z21" i="203" s="1"/>
  <c r="Z82" i="205"/>
  <c r="AC82" i="205" s="1"/>
  <c r="AH82" i="205" s="1"/>
  <c r="X124" i="206"/>
  <c r="Z124" i="206" s="1"/>
  <c r="AC124" i="206" s="1"/>
  <c r="AH124" i="206" s="1"/>
  <c r="V108" i="205"/>
  <c r="X108" i="205" s="1"/>
  <c r="Z108" i="205" s="1"/>
  <c r="Z31" i="205"/>
  <c r="AB31" i="205" s="1"/>
  <c r="V105" i="205"/>
  <c r="X105" i="205" s="1"/>
  <c r="Z105" i="205" s="1"/>
  <c r="V65" i="205"/>
  <c r="X65" i="205" s="1"/>
  <c r="Z65" i="205" s="1"/>
  <c r="V39" i="205"/>
  <c r="V62" i="205"/>
  <c r="X62" i="205" s="1"/>
  <c r="Z62" i="205" s="1"/>
  <c r="V26" i="205"/>
  <c r="X26" i="205" s="1"/>
  <c r="Z26" i="205" s="1"/>
  <c r="V43" i="205"/>
  <c r="X43" i="205" s="1"/>
  <c r="Z43" i="205" s="1"/>
  <c r="AB43" i="205" s="1"/>
  <c r="V19" i="206"/>
  <c r="X19" i="206" s="1"/>
  <c r="Z19" i="206" s="1"/>
  <c r="V94" i="206"/>
  <c r="V130" i="206"/>
  <c r="X130" i="206" s="1"/>
  <c r="Z130" i="206" s="1"/>
  <c r="V35" i="206"/>
  <c r="X35" i="206" s="1"/>
  <c r="Z35" i="206" s="1"/>
  <c r="V21" i="206"/>
  <c r="X21" i="206" s="1"/>
  <c r="Z21" i="206" s="1"/>
  <c r="V132" i="206"/>
  <c r="X132" i="206" s="1"/>
  <c r="Z132" i="206" s="1"/>
  <c r="V39" i="206"/>
  <c r="X39" i="206" s="1"/>
  <c r="Z39" i="206" s="1"/>
  <c r="V125" i="206"/>
  <c r="X125" i="206" s="1"/>
  <c r="Z125" i="206" s="1"/>
  <c r="X98" i="206"/>
  <c r="Z98" i="206" s="1"/>
  <c r="V83" i="206"/>
  <c r="X83" i="206" s="1"/>
  <c r="Z83" i="206" s="1"/>
  <c r="V107" i="206"/>
  <c r="X107" i="206" s="1"/>
  <c r="Z107" i="206" s="1"/>
  <c r="V112" i="206"/>
  <c r="X112" i="206" s="1"/>
  <c r="Z112" i="206" s="1"/>
  <c r="V126" i="206"/>
  <c r="X126" i="206" s="1"/>
  <c r="Z126" i="206" s="1"/>
  <c r="V34" i="206"/>
  <c r="X34" i="206" s="1"/>
  <c r="Z34" i="206" s="1"/>
  <c r="X97" i="206"/>
  <c r="Z97" i="206" s="1"/>
  <c r="V158" i="206"/>
  <c r="X158" i="206" s="1"/>
  <c r="Z158" i="206" s="1"/>
  <c r="V101" i="206"/>
  <c r="X101" i="206" s="1"/>
  <c r="Z101" i="206" s="1"/>
  <c r="V104" i="206"/>
  <c r="X104" i="206" s="1"/>
  <c r="Z104" i="206" s="1"/>
  <c r="V66" i="206"/>
  <c r="X66" i="206" s="1"/>
  <c r="Z66" i="206" s="1"/>
  <c r="V18" i="206"/>
  <c r="X18" i="206" s="1"/>
  <c r="Z18" i="206" s="1"/>
  <c r="V115" i="206"/>
  <c r="X115" i="206" s="1"/>
  <c r="Z115" i="206" s="1"/>
  <c r="V70" i="206"/>
  <c r="X70" i="206" s="1"/>
  <c r="Z70" i="206" s="1"/>
  <c r="V63" i="206"/>
  <c r="X63" i="206" s="1"/>
  <c r="Z63" i="206" s="1"/>
  <c r="V131" i="206"/>
  <c r="X131" i="206" s="1"/>
  <c r="Z131" i="206" s="1"/>
  <c r="V118" i="206"/>
  <c r="X118" i="206" s="1"/>
  <c r="Z118" i="206" s="1"/>
  <c r="V44" i="206"/>
  <c r="X44" i="206" s="1"/>
  <c r="Z44" i="206" s="1"/>
  <c r="V33" i="206"/>
  <c r="X33" i="206" s="1"/>
  <c r="Z33" i="206" s="1"/>
  <c r="V43" i="206"/>
  <c r="X43" i="206" s="1"/>
  <c r="Z43" i="206" s="1"/>
  <c r="V138" i="206"/>
  <c r="X138" i="206" s="1"/>
  <c r="Z138" i="206" s="1"/>
  <c r="V133" i="206"/>
  <c r="X133" i="206" s="1"/>
  <c r="Z133" i="206" s="1"/>
  <c r="V116" i="206"/>
  <c r="X116" i="206" s="1"/>
  <c r="Z116" i="206" s="1"/>
  <c r="V76" i="206"/>
  <c r="X76" i="206" s="1"/>
  <c r="Z76" i="206" s="1"/>
  <c r="V96" i="206"/>
  <c r="X96" i="206" s="1"/>
  <c r="Z96" i="206" s="1"/>
  <c r="V28" i="206"/>
  <c r="X28" i="206" s="1"/>
  <c r="Z28" i="206" s="1"/>
  <c r="V117" i="206"/>
  <c r="X117" i="206" s="1"/>
  <c r="Z117" i="206" s="1"/>
  <c r="V103" i="206"/>
  <c r="X103" i="206" s="1"/>
  <c r="Z103" i="206" s="1"/>
  <c r="V106" i="206"/>
  <c r="X106" i="206" s="1"/>
  <c r="Z106" i="206" s="1"/>
  <c r="V15" i="205"/>
  <c r="X15" i="205" s="1"/>
  <c r="Z15" i="205" s="1"/>
  <c r="V18" i="205"/>
  <c r="X18" i="205" s="1"/>
  <c r="Z18" i="205" s="1"/>
  <c r="X53" i="211"/>
  <c r="V53" i="211"/>
  <c r="T53" i="211"/>
  <c r="R53" i="211"/>
  <c r="S53" i="211" s="1"/>
  <c r="X94" i="206" l="1"/>
  <c r="AB82" i="205"/>
  <c r="AI82" i="205" s="1"/>
  <c r="X136" i="206"/>
  <c r="X39" i="205"/>
  <c r="Z39" i="205" s="1"/>
  <c r="X46" i="205"/>
  <c r="AC14" i="208"/>
  <c r="AH14" i="208" s="1"/>
  <c r="AI14" i="208" s="1"/>
  <c r="AB124" i="206"/>
  <c r="AI124" i="206" s="1"/>
  <c r="U53" i="211"/>
  <c r="W53" i="211" s="1"/>
  <c r="Y53" i="211" s="1"/>
  <c r="AB53" i="211" s="1"/>
  <c r="AG53" i="211" s="1"/>
  <c r="AB18" i="205"/>
  <c r="AC18" i="205"/>
  <c r="AH18" i="205" s="1"/>
  <c r="AB62" i="205"/>
  <c r="AC62" i="205"/>
  <c r="AH62" i="205" s="1"/>
  <c r="AB65" i="205"/>
  <c r="AC65" i="205"/>
  <c r="AB108" i="205"/>
  <c r="AC108" i="205"/>
  <c r="AB15" i="205"/>
  <c r="AC15" i="205"/>
  <c r="AH15" i="205" s="1"/>
  <c r="AB26" i="205"/>
  <c r="AC26" i="205"/>
  <c r="AH26" i="205" s="1"/>
  <c r="AB105" i="205"/>
  <c r="AC105" i="205"/>
  <c r="AH105" i="205" s="1"/>
  <c r="AC106" i="206"/>
  <c r="AH106" i="206" s="1"/>
  <c r="AB106" i="206"/>
  <c r="AB28" i="206"/>
  <c r="AC28" i="206"/>
  <c r="AH28" i="206" s="1"/>
  <c r="AC133" i="206"/>
  <c r="AH133" i="206" s="1"/>
  <c r="AB133" i="206"/>
  <c r="AC43" i="206"/>
  <c r="AH43" i="206" s="1"/>
  <c r="AB43" i="206"/>
  <c r="AC44" i="206"/>
  <c r="AH44" i="206" s="1"/>
  <c r="AB44" i="206"/>
  <c r="AC118" i="206"/>
  <c r="AH118" i="206" s="1"/>
  <c r="AB118" i="206"/>
  <c r="AC131" i="206"/>
  <c r="AH131" i="206" s="1"/>
  <c r="AB131" i="206"/>
  <c r="AC70" i="206"/>
  <c r="AH70" i="206" s="1"/>
  <c r="AB70" i="206"/>
  <c r="AC18" i="206"/>
  <c r="AH18" i="206" s="1"/>
  <c r="AB18" i="206"/>
  <c r="AC66" i="206"/>
  <c r="AH66" i="206" s="1"/>
  <c r="AB66" i="206"/>
  <c r="AC104" i="206"/>
  <c r="AH104" i="206" s="1"/>
  <c r="AB104" i="206"/>
  <c r="AB35" i="206"/>
  <c r="AC35" i="206"/>
  <c r="AH35" i="206" s="1"/>
  <c r="AC158" i="206"/>
  <c r="AB158" i="206"/>
  <c r="AC34" i="206"/>
  <c r="AH34" i="206" s="1"/>
  <c r="AB34" i="206"/>
  <c r="AC39" i="206"/>
  <c r="AB39" i="206"/>
  <c r="AB126" i="206"/>
  <c r="AC126" i="206"/>
  <c r="AH126" i="206" s="1"/>
  <c r="AB19" i="206"/>
  <c r="AC19" i="206"/>
  <c r="AH19" i="206" s="1"/>
  <c r="AB21" i="206"/>
  <c r="AC21" i="206"/>
  <c r="AH21" i="206" s="1"/>
  <c r="AB83" i="206"/>
  <c r="AC83" i="206"/>
  <c r="AH83" i="206" s="1"/>
  <c r="AC125" i="206"/>
  <c r="AH125" i="206" s="1"/>
  <c r="AB125" i="206"/>
  <c r="AC130" i="206"/>
  <c r="AB130" i="206"/>
  <c r="AC41" i="206"/>
  <c r="AH41" i="206" s="1"/>
  <c r="AB41" i="206"/>
  <c r="AC103" i="206"/>
  <c r="AH103" i="206" s="1"/>
  <c r="AB103" i="206"/>
  <c r="AC117" i="206"/>
  <c r="AH117" i="206" s="1"/>
  <c r="AB117" i="206"/>
  <c r="AB96" i="206"/>
  <c r="AC96" i="206"/>
  <c r="AH96" i="206" s="1"/>
  <c r="AC76" i="206"/>
  <c r="AH76" i="206" s="1"/>
  <c r="AB76" i="206"/>
  <c r="AC116" i="206"/>
  <c r="AH116" i="206" s="1"/>
  <c r="AB116" i="206"/>
  <c r="AC138" i="206"/>
  <c r="AH138" i="206" s="1"/>
  <c r="AB138" i="206"/>
  <c r="AB33" i="206"/>
  <c r="AC33" i="206"/>
  <c r="AH33" i="206" s="1"/>
  <c r="AC63" i="206"/>
  <c r="AH63" i="206" s="1"/>
  <c r="AB63" i="206"/>
  <c r="AC115" i="206"/>
  <c r="AH115" i="206" s="1"/>
  <c r="AB115" i="206"/>
  <c r="AB101" i="206"/>
  <c r="AC101" i="206"/>
  <c r="AH101" i="206" s="1"/>
  <c r="AC97" i="206"/>
  <c r="AH97" i="206" s="1"/>
  <c r="AB97" i="206"/>
  <c r="AB112" i="206"/>
  <c r="AC112" i="206"/>
  <c r="AH112" i="206" s="1"/>
  <c r="AB107" i="206"/>
  <c r="AC107" i="206"/>
  <c r="AH107" i="206" s="1"/>
  <c r="AC98" i="206"/>
  <c r="AH98" i="206" s="1"/>
  <c r="AB98" i="206"/>
  <c r="AC132" i="206"/>
  <c r="AH132" i="206" s="1"/>
  <c r="AB132" i="206"/>
  <c r="Z94" i="206" l="1"/>
  <c r="Z136" i="206"/>
  <c r="Z46" i="205"/>
  <c r="AI62" i="205"/>
  <c r="AI18" i="205"/>
  <c r="AA53" i="211"/>
  <c r="AI107" i="206"/>
  <c r="AI112" i="206"/>
  <c r="AI101" i="206"/>
  <c r="AI138" i="206"/>
  <c r="AI116" i="206"/>
  <c r="AI76" i="206"/>
  <c r="AI117" i="206"/>
  <c r="AI103" i="206"/>
  <c r="AI41" i="206"/>
  <c r="AI125" i="206"/>
  <c r="AI34" i="206"/>
  <c r="AI104" i="206"/>
  <c r="AI18" i="206"/>
  <c r="AI70" i="206"/>
  <c r="AI131" i="206"/>
  <c r="AI118" i="206"/>
  <c r="AI44" i="206"/>
  <c r="AI43" i="206"/>
  <c r="AI133" i="206"/>
  <c r="AH108" i="205"/>
  <c r="AH109" i="205" s="1"/>
  <c r="AC109" i="205"/>
  <c r="AH65" i="205"/>
  <c r="AI65" i="205" s="1"/>
  <c r="AB109" i="205"/>
  <c r="AB159" i="206"/>
  <c r="AI132" i="206"/>
  <c r="AI115" i="206"/>
  <c r="AI63" i="206"/>
  <c r="AI33" i="206"/>
  <c r="AI83" i="206"/>
  <c r="AI21" i="206"/>
  <c r="AI19" i="206"/>
  <c r="AI126" i="206"/>
  <c r="AC159" i="206"/>
  <c r="AH158" i="206"/>
  <c r="AH159" i="206" s="1"/>
  <c r="AI35" i="206"/>
  <c r="AI28" i="206"/>
  <c r="AH130" i="206"/>
  <c r="AI106" i="206"/>
  <c r="AI98" i="206"/>
  <c r="AI97" i="206"/>
  <c r="AI96" i="206"/>
  <c r="AI66" i="206"/>
  <c r="AH39" i="206"/>
  <c r="AI105" i="205"/>
  <c r="AB39" i="205"/>
  <c r="AI26" i="205"/>
  <c r="AI15" i="205"/>
  <c r="AB94" i="206" l="1"/>
  <c r="AC94" i="206"/>
  <c r="AC136" i="206"/>
  <c r="AB136" i="206"/>
  <c r="AI108" i="205"/>
  <c r="AI109" i="205" s="1"/>
  <c r="AB46" i="205"/>
  <c r="AC46" i="205"/>
  <c r="AL109" i="205"/>
  <c r="AL159" i="206"/>
  <c r="AI158" i="206"/>
  <c r="AI159" i="206" s="1"/>
  <c r="AI130" i="206"/>
  <c r="AI39" i="206"/>
  <c r="AF94" i="206" l="1"/>
  <c r="AH136" i="206"/>
  <c r="AH46" i="205"/>
  <c r="AC43" i="205"/>
  <c r="AH43" i="205" s="1"/>
  <c r="AC39" i="205"/>
  <c r="O39" i="205"/>
  <c r="O40" i="205"/>
  <c r="O41" i="205"/>
  <c r="O42" i="205"/>
  <c r="O43" i="205"/>
  <c r="AC36" i="205"/>
  <c r="AH36" i="205" s="1"/>
  <c r="O36" i="205"/>
  <c r="AC31" i="205"/>
  <c r="AH31" i="205" s="1"/>
  <c r="AI31" i="205" s="1"/>
  <c r="AC26" i="208"/>
  <c r="AH26" i="208" s="1"/>
  <c r="AB26" i="208"/>
  <c r="O26" i="208"/>
  <c r="AH94" i="206" l="1"/>
  <c r="AF109" i="206"/>
  <c r="AI43" i="205"/>
  <c r="AI136" i="206"/>
  <c r="AH39" i="205"/>
  <c r="O44" i="205"/>
  <c r="AI46" i="205"/>
  <c r="AI26" i="208"/>
  <c r="AI39" i="205"/>
  <c r="AI36" i="205"/>
  <c r="AC22" i="203"/>
  <c r="AH22" i="203" s="1"/>
  <c r="O22" i="203"/>
  <c r="AC21" i="203"/>
  <c r="AH21" i="203" s="1"/>
  <c r="O21" i="203"/>
  <c r="AI94" i="206" l="1"/>
  <c r="AI22" i="203"/>
  <c r="AI21" i="203"/>
  <c r="T100" i="206" l="1"/>
  <c r="Q19" i="205"/>
  <c r="R19" i="205" s="1"/>
  <c r="Y19" i="205" s="1"/>
  <c r="Y100" i="206" l="1"/>
  <c r="W100" i="206"/>
  <c r="U100" i="206"/>
  <c r="V100" i="206" s="1"/>
  <c r="S19" i="205"/>
  <c r="T19" i="205" s="1"/>
  <c r="U19" i="205"/>
  <c r="W19" i="205"/>
  <c r="O152" i="206"/>
  <c r="O153" i="206" s="1"/>
  <c r="Q152" i="206"/>
  <c r="R152" i="206" s="1"/>
  <c r="S152" i="206" s="1"/>
  <c r="M153" i="206"/>
  <c r="K153" i="206"/>
  <c r="I153" i="206"/>
  <c r="H153" i="206"/>
  <c r="J153" i="206"/>
  <c r="L153" i="206"/>
  <c r="N153" i="206"/>
  <c r="P153" i="206"/>
  <c r="AD153" i="206"/>
  <c r="AE153" i="206"/>
  <c r="AF153" i="206"/>
  <c r="AG153" i="206"/>
  <c r="AF159" i="206"/>
  <c r="AE159" i="206"/>
  <c r="AD159" i="206"/>
  <c r="Z159" i="206"/>
  <c r="Y159" i="206"/>
  <c r="X159" i="206"/>
  <c r="W159" i="206"/>
  <c r="V159" i="206"/>
  <c r="U159" i="206"/>
  <c r="T159" i="206"/>
  <c r="S159" i="206"/>
  <c r="P159" i="206"/>
  <c r="N159" i="206"/>
  <c r="M159" i="206"/>
  <c r="L159" i="206"/>
  <c r="K159" i="206"/>
  <c r="J159" i="206"/>
  <c r="I159" i="206"/>
  <c r="AG109" i="205"/>
  <c r="AF109" i="205"/>
  <c r="AE109" i="205"/>
  <c r="AD109" i="205"/>
  <c r="W109" i="205"/>
  <c r="V109" i="205"/>
  <c r="U109" i="205"/>
  <c r="T109" i="205"/>
  <c r="S109" i="205"/>
  <c r="R109" i="205"/>
  <c r="Q109" i="205"/>
  <c r="P109" i="205"/>
  <c r="N109" i="205"/>
  <c r="M109" i="205"/>
  <c r="L109" i="205"/>
  <c r="K109" i="205"/>
  <c r="J109" i="205"/>
  <c r="I109" i="205"/>
  <c r="V19" i="205" l="1"/>
  <c r="X19" i="205" s="1"/>
  <c r="X100" i="206"/>
  <c r="Z100" i="206" s="1"/>
  <c r="T152" i="206"/>
  <c r="Y152" i="206"/>
  <c r="Y153" i="206" s="1"/>
  <c r="W152" i="206"/>
  <c r="W153" i="206" s="1"/>
  <c r="U152" i="206"/>
  <c r="U153" i="206" s="1"/>
  <c r="R153" i="206"/>
  <c r="Q153" i="206"/>
  <c r="U105" i="206"/>
  <c r="W105" i="206"/>
  <c r="Z19" i="205" l="1"/>
  <c r="AC19" i="205" s="1"/>
  <c r="AH19" i="205" s="1"/>
  <c r="S153" i="206"/>
  <c r="AB100" i="206"/>
  <c r="AC100" i="206"/>
  <c r="AH100" i="206" s="1"/>
  <c r="V152" i="206"/>
  <c r="X152" i="206" s="1"/>
  <c r="Z152" i="206" s="1"/>
  <c r="AC152" i="206" s="1"/>
  <c r="AH152" i="206" s="1"/>
  <c r="AH153" i="206" s="1"/>
  <c r="V105" i="206"/>
  <c r="AI100" i="206" l="1"/>
  <c r="AB19" i="205"/>
  <c r="X105" i="206"/>
  <c r="Z105" i="206" s="1"/>
  <c r="AB152" i="206"/>
  <c r="AI152" i="206" s="1"/>
  <c r="AI153" i="206" s="1"/>
  <c r="T153" i="206"/>
  <c r="H94" i="205"/>
  <c r="AI19" i="205" l="1"/>
  <c r="AC105" i="206"/>
  <c r="AH105" i="206" s="1"/>
  <c r="AB105" i="206"/>
  <c r="V153" i="206"/>
  <c r="H36" i="207"/>
  <c r="Q24" i="208"/>
  <c r="R24" i="208" s="1"/>
  <c r="O24" i="208"/>
  <c r="Q23" i="208"/>
  <c r="R23" i="208" s="1"/>
  <c r="Y23" i="208" s="1"/>
  <c r="O23" i="208"/>
  <c r="AI105" i="206" l="1"/>
  <c r="X153" i="206"/>
  <c r="Y24" i="208"/>
  <c r="W24" i="208"/>
  <c r="U24" i="208"/>
  <c r="S24" i="208"/>
  <c r="T24" i="208" s="1"/>
  <c r="S23" i="208"/>
  <c r="T23" i="208" s="1"/>
  <c r="U23" i="208"/>
  <c r="W23" i="208"/>
  <c r="V24" i="208" l="1"/>
  <c r="X24" i="208" s="1"/>
  <c r="Z24" i="208" s="1"/>
  <c r="AB24" i="208" s="1"/>
  <c r="Z153" i="206"/>
  <c r="V23" i="208"/>
  <c r="X23" i="208" s="1"/>
  <c r="Z23" i="208" s="1"/>
  <c r="AC23" i="208" s="1"/>
  <c r="W16" i="206"/>
  <c r="U16" i="206"/>
  <c r="AH23" i="208" l="1"/>
  <c r="AC24" i="208"/>
  <c r="AH24" i="208" s="1"/>
  <c r="AI24" i="208" s="1"/>
  <c r="AC153" i="206"/>
  <c r="AB153" i="206"/>
  <c r="AL153" i="206" s="1"/>
  <c r="V16" i="206"/>
  <c r="X16" i="206" s="1"/>
  <c r="AI23" i="208" l="1"/>
  <c r="Z16" i="206"/>
  <c r="AC16" i="206" l="1"/>
  <c r="AH16" i="206" s="1"/>
  <c r="AB16" i="206"/>
  <c r="AI16" i="206" l="1"/>
  <c r="I36" i="207"/>
  <c r="J36" i="207"/>
  <c r="K36" i="207"/>
  <c r="L36" i="207"/>
  <c r="M36" i="207"/>
  <c r="N36" i="207"/>
  <c r="P36" i="207"/>
  <c r="AA36" i="207"/>
  <c r="AD36" i="207"/>
  <c r="AE36" i="207"/>
  <c r="AF36" i="207"/>
  <c r="AG36" i="207"/>
  <c r="H156" i="206" l="1"/>
  <c r="H150" i="206"/>
  <c r="H30" i="206"/>
  <c r="H25" i="206"/>
  <c r="AG25" i="206"/>
  <c r="AF25" i="206"/>
  <c r="AE25" i="206"/>
  <c r="AD25" i="206"/>
  <c r="AA25" i="206"/>
  <c r="P25" i="206"/>
  <c r="N25" i="206"/>
  <c r="M25" i="206"/>
  <c r="L25" i="206"/>
  <c r="K25" i="206"/>
  <c r="J25" i="206"/>
  <c r="I25" i="206"/>
  <c r="Q24" i="206"/>
  <c r="Q25" i="206" s="1"/>
  <c r="O24" i="206"/>
  <c r="H165" i="206" l="1"/>
  <c r="O25" i="206"/>
  <c r="R24" i="206"/>
  <c r="O92" i="206"/>
  <c r="R25" i="206" l="1"/>
  <c r="Y24" i="206"/>
  <c r="Y25" i="206" s="1"/>
  <c r="W24" i="206"/>
  <c r="W25" i="206" s="1"/>
  <c r="U24" i="206"/>
  <c r="U25" i="206" s="1"/>
  <c r="S24" i="206"/>
  <c r="S25" i="206" s="1"/>
  <c r="W92" i="206"/>
  <c r="U92" i="206"/>
  <c r="T92" i="206" l="1"/>
  <c r="S92" i="206"/>
  <c r="T24" i="206"/>
  <c r="B8" i="208"/>
  <c r="B7" i="207"/>
  <c r="V92" i="206" l="1"/>
  <c r="V24" i="206"/>
  <c r="T25" i="206"/>
  <c r="I71" i="205"/>
  <c r="J71" i="205"/>
  <c r="K71" i="205"/>
  <c r="L71" i="205"/>
  <c r="M71" i="205"/>
  <c r="N71" i="205"/>
  <c r="P71" i="205"/>
  <c r="AD71" i="205"/>
  <c r="AE71" i="205"/>
  <c r="AF71" i="205"/>
  <c r="AG71" i="205"/>
  <c r="X92" i="206" l="1"/>
  <c r="X24" i="206"/>
  <c r="V25" i="206"/>
  <c r="Z92" i="206" l="1"/>
  <c r="Z24" i="206"/>
  <c r="X25" i="206"/>
  <c r="AB92" i="206" l="1"/>
  <c r="AC92" i="206"/>
  <c r="AH92" i="206"/>
  <c r="AC24" i="206"/>
  <c r="Z25" i="206"/>
  <c r="AB24" i="206"/>
  <c r="O17" i="208"/>
  <c r="Q25" i="205"/>
  <c r="O25" i="205"/>
  <c r="O27" i="205" s="1"/>
  <c r="Q54" i="205"/>
  <c r="O54" i="205"/>
  <c r="AI92" i="206" l="1"/>
  <c r="AL92" i="206"/>
  <c r="R54" i="205"/>
  <c r="W54" i="205" s="1"/>
  <c r="R25" i="205"/>
  <c r="U25" i="205" s="1"/>
  <c r="U27" i="205" s="1"/>
  <c r="Q27" i="205"/>
  <c r="AB25" i="206"/>
  <c r="AC25" i="206"/>
  <c r="AH24" i="206"/>
  <c r="AH25" i="206" s="1"/>
  <c r="I150" i="206"/>
  <c r="J150" i="206"/>
  <c r="K150" i="206"/>
  <c r="L150" i="206"/>
  <c r="M150" i="206"/>
  <c r="N150" i="206"/>
  <c r="P150" i="206"/>
  <c r="AA150" i="206"/>
  <c r="AD150" i="206"/>
  <c r="AE150" i="206"/>
  <c r="AF150" i="206"/>
  <c r="AG150" i="206"/>
  <c r="L134" i="206"/>
  <c r="M134" i="206"/>
  <c r="N134" i="206"/>
  <c r="P134" i="206"/>
  <c r="AD134" i="206"/>
  <c r="AE134" i="206"/>
  <c r="AF134" i="206"/>
  <c r="I127" i="206"/>
  <c r="J127" i="206"/>
  <c r="K127" i="206"/>
  <c r="L127" i="206"/>
  <c r="M127" i="206"/>
  <c r="N127" i="206"/>
  <c r="P127" i="206"/>
  <c r="AD127" i="206"/>
  <c r="AE127" i="206"/>
  <c r="AF127" i="206"/>
  <c r="I84" i="206"/>
  <c r="J84" i="206"/>
  <c r="K84" i="206"/>
  <c r="L84" i="206"/>
  <c r="M84" i="206"/>
  <c r="N84" i="206"/>
  <c r="P84" i="206"/>
  <c r="AA84" i="206"/>
  <c r="AD84" i="206"/>
  <c r="AE84" i="206"/>
  <c r="AF84" i="206"/>
  <c r="I80" i="206"/>
  <c r="J80" i="206"/>
  <c r="K80" i="206"/>
  <c r="L80" i="206"/>
  <c r="M80" i="206"/>
  <c r="N80" i="206"/>
  <c r="P80" i="206"/>
  <c r="AD80" i="206"/>
  <c r="AE80" i="206"/>
  <c r="AF80" i="206"/>
  <c r="I68" i="206"/>
  <c r="J68" i="206"/>
  <c r="K68" i="206"/>
  <c r="L68" i="206"/>
  <c r="M68" i="206"/>
  <c r="N68" i="206"/>
  <c r="P68" i="206"/>
  <c r="AD68" i="206"/>
  <c r="AE68" i="206"/>
  <c r="AF68" i="206"/>
  <c r="I46" i="206"/>
  <c r="J46" i="206"/>
  <c r="K46" i="206"/>
  <c r="L46" i="206"/>
  <c r="M46" i="206"/>
  <c r="N46" i="206"/>
  <c r="I30" i="206"/>
  <c r="J30" i="206"/>
  <c r="K30" i="206"/>
  <c r="L30" i="206"/>
  <c r="M30" i="206"/>
  <c r="N30" i="206"/>
  <c r="P30" i="206"/>
  <c r="AA30" i="206"/>
  <c r="AD30" i="206"/>
  <c r="AE30" i="206"/>
  <c r="AF30" i="206"/>
  <c r="AG30" i="206"/>
  <c r="I22" i="206"/>
  <c r="J22" i="206"/>
  <c r="K22" i="206"/>
  <c r="L22" i="206"/>
  <c r="M22" i="206"/>
  <c r="N22" i="206"/>
  <c r="P22" i="206"/>
  <c r="AA22" i="206"/>
  <c r="AA165" i="206" s="1"/>
  <c r="AD22" i="206"/>
  <c r="AE22" i="206"/>
  <c r="AF22" i="206"/>
  <c r="Q14" i="205"/>
  <c r="O14" i="205"/>
  <c r="O20" i="205" s="1"/>
  <c r="Q23" i="210"/>
  <c r="R23" i="210" s="1"/>
  <c r="O23" i="210"/>
  <c r="S25" i="205" l="1"/>
  <c r="T25" i="205" s="1"/>
  <c r="U54" i="205"/>
  <c r="W25" i="205"/>
  <c r="W27" i="205" s="1"/>
  <c r="S54" i="205"/>
  <c r="T54" i="205" s="1"/>
  <c r="Y25" i="205"/>
  <c r="Y27" i="205" s="1"/>
  <c r="R27" i="205"/>
  <c r="Y54" i="205"/>
  <c r="AL25" i="206"/>
  <c r="AI24" i="206"/>
  <c r="R14" i="205"/>
  <c r="AI25" i="206"/>
  <c r="Y23" i="210"/>
  <c r="W23" i="210"/>
  <c r="U23" i="210"/>
  <c r="S23" i="210"/>
  <c r="T23" i="210" s="1"/>
  <c r="V23" i="210" l="1"/>
  <c r="X23" i="210" s="1"/>
  <c r="Z23" i="210" s="1"/>
  <c r="S27" i="205"/>
  <c r="T27" i="205"/>
  <c r="V25" i="205"/>
  <c r="V27" i="205" s="1"/>
  <c r="V54" i="205"/>
  <c r="Y14" i="205"/>
  <c r="S14" i="205"/>
  <c r="T14" i="205" s="1"/>
  <c r="W14" i="205"/>
  <c r="U14" i="205"/>
  <c r="AC23" i="210"/>
  <c r="AH23" i="210" s="1"/>
  <c r="AB23" i="210"/>
  <c r="X25" i="205" l="1"/>
  <c r="AI23" i="210"/>
  <c r="Z25" i="205"/>
  <c r="X27" i="205"/>
  <c r="X54" i="205"/>
  <c r="V14" i="205"/>
  <c r="AB25" i="205" l="1"/>
  <c r="AB27" i="205" s="1"/>
  <c r="Z27" i="205"/>
  <c r="AC25" i="205"/>
  <c r="X14" i="205"/>
  <c r="Z54" i="205"/>
  <c r="AB54" i="205" l="1"/>
  <c r="AC27" i="205"/>
  <c r="AH25" i="205"/>
  <c r="AH27" i="205" s="1"/>
  <c r="AL27" i="205" s="1"/>
  <c r="AC54" i="205"/>
  <c r="AH54" i="205" s="1"/>
  <c r="Z14" i="205"/>
  <c r="AC14" i="205" s="1"/>
  <c r="AI25" i="205" l="1"/>
  <c r="AI27" i="205" s="1"/>
  <c r="AI54" i="205"/>
  <c r="AB14" i="205"/>
  <c r="AH14" i="205"/>
  <c r="AI14" i="205" l="1"/>
  <c r="AG106" i="205" l="1"/>
  <c r="AF106" i="205"/>
  <c r="AE106" i="205"/>
  <c r="AD106" i="205"/>
  <c r="P106" i="205"/>
  <c r="N106" i="205"/>
  <c r="M106" i="205"/>
  <c r="L106" i="205"/>
  <c r="K106" i="205"/>
  <c r="J106" i="205"/>
  <c r="I106" i="205"/>
  <c r="Q104" i="205"/>
  <c r="Q106" i="205" s="1"/>
  <c r="R104" i="205" l="1"/>
  <c r="S104" i="205" l="1"/>
  <c r="S106" i="205" s="1"/>
  <c r="Y104" i="205"/>
  <c r="Y106" i="205" s="1"/>
  <c r="R106" i="205"/>
  <c r="W104" i="205"/>
  <c r="W106" i="205" s="1"/>
  <c r="U104" i="205"/>
  <c r="U106" i="205" s="1"/>
  <c r="T104" i="205" l="1"/>
  <c r="V104" i="205" l="1"/>
  <c r="X104" i="205" s="1"/>
  <c r="T106" i="205"/>
  <c r="Q45" i="206"/>
  <c r="R45" i="206" s="1"/>
  <c r="U45" i="206" s="1"/>
  <c r="O45" i="206"/>
  <c r="Z104" i="205" l="1"/>
  <c r="X106" i="205"/>
  <c r="V106" i="205"/>
  <c r="Y45" i="206"/>
  <c r="W45" i="206"/>
  <c r="S45" i="206"/>
  <c r="T45" i="206" s="1"/>
  <c r="H90" i="205"/>
  <c r="H87" i="205"/>
  <c r="H23" i="205"/>
  <c r="Z106" i="205" l="1"/>
  <c r="AB104" i="205"/>
  <c r="AB106" i="205" s="1"/>
  <c r="V45" i="206"/>
  <c r="X45" i="206" s="1"/>
  <c r="V20" i="206"/>
  <c r="X20" i="206" s="1"/>
  <c r="Z20" i="206" s="1"/>
  <c r="AC20" i="206" l="1"/>
  <c r="AH20" i="206" s="1"/>
  <c r="AB20" i="206"/>
  <c r="Z45" i="206"/>
  <c r="AC45" i="206" s="1"/>
  <c r="AH45" i="206" s="1"/>
  <c r="AC104" i="205"/>
  <c r="AH104" i="205" l="1"/>
  <c r="AH106" i="205" s="1"/>
  <c r="AC106" i="205"/>
  <c r="AI20" i="206"/>
  <c r="AB45" i="206"/>
  <c r="AI45" i="206" s="1"/>
  <c r="I87" i="205"/>
  <c r="J87" i="205"/>
  <c r="K87" i="205"/>
  <c r="L87" i="205"/>
  <c r="M87" i="205"/>
  <c r="N87" i="205"/>
  <c r="P87" i="205"/>
  <c r="AD87" i="205"/>
  <c r="AE87" i="205"/>
  <c r="AF87" i="205"/>
  <c r="AG87" i="205"/>
  <c r="Q85" i="205"/>
  <c r="R85" i="205" s="1"/>
  <c r="Y85" i="205" s="1"/>
  <c r="O85" i="205"/>
  <c r="AL106" i="205" l="1"/>
  <c r="AI104" i="205"/>
  <c r="AI106" i="205" s="1"/>
  <c r="W85" i="205"/>
  <c r="U85" i="205"/>
  <c r="S85" i="205"/>
  <c r="T85" i="205" l="1"/>
  <c r="V85" i="205" s="1"/>
  <c r="X85" i="205" s="1"/>
  <c r="Z85" i="205" l="1"/>
  <c r="Q67" i="206"/>
  <c r="R67" i="206" s="1"/>
  <c r="AB85" i="205" l="1"/>
  <c r="AC85" i="205"/>
  <c r="Y67" i="206"/>
  <c r="W67" i="206"/>
  <c r="U67" i="206"/>
  <c r="S67" i="206"/>
  <c r="T67" i="206" s="1"/>
  <c r="V67" i="206" l="1"/>
  <c r="X67" i="206" s="1"/>
  <c r="AH85" i="205"/>
  <c r="AI85" i="205" s="1"/>
  <c r="Z67" i="206" l="1"/>
  <c r="AC67" i="206" s="1"/>
  <c r="AH67" i="206" s="1"/>
  <c r="AB67" i="206" l="1"/>
  <c r="AI67" i="206" s="1"/>
  <c r="I94" i="205"/>
  <c r="J94" i="205"/>
  <c r="K94" i="205"/>
  <c r="L94" i="205"/>
  <c r="M94" i="205"/>
  <c r="N94" i="205"/>
  <c r="AD94" i="205"/>
  <c r="AE94" i="205"/>
  <c r="AF94" i="205"/>
  <c r="AG94" i="205"/>
  <c r="Q93" i="205"/>
  <c r="R93" i="205" s="1"/>
  <c r="Y93" i="205" s="1"/>
  <c r="O93" i="205"/>
  <c r="W93" i="205" l="1"/>
  <c r="U93" i="205"/>
  <c r="S93" i="205"/>
  <c r="T93" i="205" l="1"/>
  <c r="V93" i="205" l="1"/>
  <c r="X93" i="205" s="1"/>
  <c r="Z93" i="205" s="1"/>
  <c r="AB93" i="205" s="1"/>
  <c r="AC93" i="205" l="1"/>
  <c r="AH93" i="205" l="1"/>
  <c r="AI93" i="205" s="1"/>
  <c r="I156" i="206"/>
  <c r="I165" i="206" s="1"/>
  <c r="J156" i="206"/>
  <c r="J165" i="206" s="1"/>
  <c r="K156" i="206"/>
  <c r="K165" i="206" s="1"/>
  <c r="L156" i="206"/>
  <c r="L165" i="206" s="1"/>
  <c r="M156" i="206"/>
  <c r="M165" i="206" s="1"/>
  <c r="N156" i="206"/>
  <c r="N165" i="206" s="1"/>
  <c r="P156" i="206"/>
  <c r="P165" i="206" s="1"/>
  <c r="AD156" i="206"/>
  <c r="AD165" i="206" s="1"/>
  <c r="AE156" i="206"/>
  <c r="AE165" i="206" s="1"/>
  <c r="AF156" i="206"/>
  <c r="AF165" i="206" s="1"/>
  <c r="AG156" i="206"/>
  <c r="AG165" i="206" s="1"/>
  <c r="Q155" i="206" l="1"/>
  <c r="O155" i="206"/>
  <c r="R155" i="206" l="1"/>
  <c r="W155" i="206" l="1"/>
  <c r="S155" i="206"/>
  <c r="T155" i="206" s="1"/>
  <c r="Y155" i="206"/>
  <c r="U155" i="206"/>
  <c r="U156" i="206" s="1"/>
  <c r="V155" i="206" l="1"/>
  <c r="X155" i="206" s="1"/>
  <c r="Z155" i="206" s="1"/>
  <c r="J20" i="203" l="1"/>
  <c r="O20" i="203" s="1"/>
  <c r="Q20" i="203"/>
  <c r="O149" i="206"/>
  <c r="O22" i="208"/>
  <c r="Q22" i="208"/>
  <c r="R22" i="208" s="1"/>
  <c r="O95" i="206"/>
  <c r="O109" i="206" s="1"/>
  <c r="O123" i="206"/>
  <c r="Q123" i="206"/>
  <c r="R123" i="206" s="1"/>
  <c r="O143" i="206"/>
  <c r="Q143" i="206"/>
  <c r="R143" i="206" s="1"/>
  <c r="O145" i="206"/>
  <c r="Q145" i="206"/>
  <c r="O146" i="206"/>
  <c r="Q146" i="206"/>
  <c r="R146" i="206" s="1"/>
  <c r="O147" i="206"/>
  <c r="Q147" i="206"/>
  <c r="R147" i="206" s="1"/>
  <c r="O156" i="206"/>
  <c r="Q156" i="206"/>
  <c r="O148" i="206"/>
  <c r="Q148" i="206"/>
  <c r="R148" i="206" s="1"/>
  <c r="Q149" i="206"/>
  <c r="R149" i="206" s="1"/>
  <c r="Q65" i="206"/>
  <c r="R65" i="206" s="1"/>
  <c r="O142" i="206"/>
  <c r="O144" i="206"/>
  <c r="Q142" i="206"/>
  <c r="Q144" i="206"/>
  <c r="R144" i="206" s="1"/>
  <c r="Q139" i="206"/>
  <c r="Q129" i="206"/>
  <c r="R129" i="206" s="1"/>
  <c r="O111" i="206"/>
  <c r="O113" i="206"/>
  <c r="O114" i="206"/>
  <c r="O119" i="206"/>
  <c r="O120" i="206"/>
  <c r="O121" i="206"/>
  <c r="Q111" i="206"/>
  <c r="Q113" i="206"/>
  <c r="R113" i="206" s="1"/>
  <c r="Q114" i="206"/>
  <c r="R114" i="206" s="1"/>
  <c r="Q119" i="206"/>
  <c r="R119" i="206" s="1"/>
  <c r="Q120" i="206"/>
  <c r="R120" i="206" s="1"/>
  <c r="Q121" i="206"/>
  <c r="R121" i="206" s="1"/>
  <c r="O64" i="206"/>
  <c r="O68" i="206" s="1"/>
  <c r="Q64" i="206"/>
  <c r="O32" i="206"/>
  <c r="O37" i="206" s="1"/>
  <c r="Q32" i="206"/>
  <c r="Q37" i="206" s="1"/>
  <c r="I99" i="205"/>
  <c r="J99" i="205"/>
  <c r="K99" i="205"/>
  <c r="L99" i="205"/>
  <c r="M99" i="205"/>
  <c r="N99" i="205"/>
  <c r="AD99" i="205"/>
  <c r="AE99" i="205"/>
  <c r="AF99" i="205"/>
  <c r="AG99" i="205"/>
  <c r="P83" i="205"/>
  <c r="I78" i="205"/>
  <c r="J78" i="205"/>
  <c r="K78" i="205"/>
  <c r="L78" i="205"/>
  <c r="M78" i="205"/>
  <c r="N78" i="205"/>
  <c r="P78" i="205"/>
  <c r="AD78" i="205"/>
  <c r="AE78" i="205"/>
  <c r="AF78" i="205"/>
  <c r="AG78" i="205"/>
  <c r="I59" i="205"/>
  <c r="J59" i="205"/>
  <c r="K59" i="205"/>
  <c r="L59" i="205"/>
  <c r="M59" i="205"/>
  <c r="N59" i="205"/>
  <c r="AD59" i="205"/>
  <c r="AE59" i="205"/>
  <c r="AF59" i="205"/>
  <c r="AG59" i="205"/>
  <c r="H59" i="205"/>
  <c r="I23" i="205"/>
  <c r="J23" i="205"/>
  <c r="K23" i="205"/>
  <c r="L23" i="205"/>
  <c r="M23" i="205"/>
  <c r="N23" i="205"/>
  <c r="P23" i="205"/>
  <c r="AD23" i="205"/>
  <c r="AE23" i="205"/>
  <c r="AF23" i="205"/>
  <c r="AG23" i="205"/>
  <c r="B58" i="2"/>
  <c r="B55" i="2"/>
  <c r="B56" i="2"/>
  <c r="D55" i="2"/>
  <c r="C55" i="2"/>
  <c r="F55" i="2"/>
  <c r="F58" i="2"/>
  <c r="F56" i="2"/>
  <c r="F57" i="2"/>
  <c r="G50" i="2"/>
  <c r="F51" i="2"/>
  <c r="G51" i="2"/>
  <c r="F52" i="2"/>
  <c r="G52" i="2"/>
  <c r="F53" i="2"/>
  <c r="G53" i="2"/>
  <c r="F54" i="2"/>
  <c r="G54" i="2"/>
  <c r="G55" i="2"/>
  <c r="G56" i="2"/>
  <c r="G57" i="2"/>
  <c r="G58" i="2"/>
  <c r="F59" i="2"/>
  <c r="G59" i="2"/>
  <c r="F60" i="2"/>
  <c r="G60" i="2"/>
  <c r="B61" i="2"/>
  <c r="B59" i="2"/>
  <c r="D58" i="2"/>
  <c r="C58" i="2"/>
  <c r="B57" i="2"/>
  <c r="D56" i="2"/>
  <c r="C56" i="2"/>
  <c r="B54" i="2"/>
  <c r="D54" i="2"/>
  <c r="C54" i="2"/>
  <c r="O13" i="206"/>
  <c r="O22" i="206" s="1"/>
  <c r="Q13" i="206"/>
  <c r="U15" i="206"/>
  <c r="D57" i="2"/>
  <c r="C57" i="2"/>
  <c r="O12" i="208"/>
  <c r="Q12" i="208"/>
  <c r="O13" i="208"/>
  <c r="Q13" i="208"/>
  <c r="R13" i="208" s="1"/>
  <c r="S13" i="208" s="1"/>
  <c r="T13" i="208" s="1"/>
  <c r="O15" i="208"/>
  <c r="Q15" i="208"/>
  <c r="R15" i="208" s="1"/>
  <c r="Q17" i="208"/>
  <c r="R17" i="208" s="1"/>
  <c r="S17" i="208" s="1"/>
  <c r="T17" i="208" s="1"/>
  <c r="O18" i="208"/>
  <c r="Q18" i="208"/>
  <c r="R18" i="208" s="1"/>
  <c r="O19" i="208"/>
  <c r="Q19" i="208"/>
  <c r="R19" i="208" s="1"/>
  <c r="S19" i="208" s="1"/>
  <c r="T19" i="208" s="1"/>
  <c r="O20" i="208"/>
  <c r="Q20" i="208"/>
  <c r="R20" i="208" s="1"/>
  <c r="O21" i="208"/>
  <c r="Q21" i="208"/>
  <c r="R21" i="208" s="1"/>
  <c r="S21" i="208" s="1"/>
  <c r="T21" i="208" s="1"/>
  <c r="O16" i="208"/>
  <c r="Q16" i="208"/>
  <c r="R16" i="208" s="1"/>
  <c r="O27" i="206"/>
  <c r="O29" i="206"/>
  <c r="Q29" i="206"/>
  <c r="R29" i="206" s="1"/>
  <c r="S29" i="206" s="1"/>
  <c r="T29" i="206" s="1"/>
  <c r="O40" i="206"/>
  <c r="Q40" i="206"/>
  <c r="O42" i="206"/>
  <c r="Q42" i="206"/>
  <c r="R42" i="206" s="1"/>
  <c r="O74" i="206"/>
  <c r="Q74" i="206"/>
  <c r="R74" i="206" s="1"/>
  <c r="O75" i="206"/>
  <c r="Q75" i="206"/>
  <c r="R75" i="206" s="1"/>
  <c r="U75" i="206" s="1"/>
  <c r="O77" i="206"/>
  <c r="Q77" i="206"/>
  <c r="R77" i="206" s="1"/>
  <c r="Q78" i="206"/>
  <c r="R78" i="206" s="1"/>
  <c r="S78" i="206" s="1"/>
  <c r="O79" i="206"/>
  <c r="Q79" i="206"/>
  <c r="R79" i="206" s="1"/>
  <c r="O82" i="206"/>
  <c r="Q82" i="206"/>
  <c r="H74" i="205"/>
  <c r="H78" i="205"/>
  <c r="H102" i="205"/>
  <c r="O97" i="205"/>
  <c r="O98" i="205"/>
  <c r="Q97" i="205"/>
  <c r="Q98" i="205"/>
  <c r="R98" i="205" s="1"/>
  <c r="Y98" i="205" s="1"/>
  <c r="R97" i="205"/>
  <c r="Y97" i="205" s="1"/>
  <c r="O92" i="205"/>
  <c r="Q92" i="205"/>
  <c r="I90" i="205"/>
  <c r="J90" i="205"/>
  <c r="K90" i="205"/>
  <c r="L90" i="205"/>
  <c r="M90" i="205"/>
  <c r="N90" i="205"/>
  <c r="O89" i="205"/>
  <c r="P90" i="205"/>
  <c r="Q89" i="205"/>
  <c r="R89" i="205" s="1"/>
  <c r="Y89" i="205" s="1"/>
  <c r="Y90" i="205" s="1"/>
  <c r="AD90" i="205"/>
  <c r="AE90" i="205"/>
  <c r="AF90" i="205"/>
  <c r="AG90" i="205"/>
  <c r="O86" i="205"/>
  <c r="Q86" i="205"/>
  <c r="R86" i="205" s="1"/>
  <c r="O80" i="205"/>
  <c r="O83" i="205" s="1"/>
  <c r="Q80" i="205"/>
  <c r="Q81" i="205"/>
  <c r="R81" i="205" s="1"/>
  <c r="Y81" i="205" s="1"/>
  <c r="O76" i="205"/>
  <c r="O77" i="205"/>
  <c r="Q76" i="205"/>
  <c r="R76" i="205" s="1"/>
  <c r="Q77" i="205"/>
  <c r="R77" i="205" s="1"/>
  <c r="Y77" i="205" s="1"/>
  <c r="O66" i="205"/>
  <c r="O67" i="205"/>
  <c r="O68" i="205"/>
  <c r="O69" i="205"/>
  <c r="Q66" i="205"/>
  <c r="Q67" i="205"/>
  <c r="R67" i="205" s="1"/>
  <c r="Y67" i="205" s="1"/>
  <c r="Q68" i="205"/>
  <c r="R68" i="205" s="1"/>
  <c r="Y68" i="205" s="1"/>
  <c r="Q69" i="205"/>
  <c r="R69" i="205" s="1"/>
  <c r="Y69" i="205" s="1"/>
  <c r="O58" i="205"/>
  <c r="Q58" i="205"/>
  <c r="R58" i="205" s="1"/>
  <c r="Y58" i="205" s="1"/>
  <c r="Y59" i="205" s="1"/>
  <c r="O55" i="205"/>
  <c r="O56" i="205" s="1"/>
  <c r="Q55" i="205"/>
  <c r="Q56" i="205" s="1"/>
  <c r="O47" i="205"/>
  <c r="O48" i="205" s="1"/>
  <c r="Q47" i="205"/>
  <c r="Q40" i="205"/>
  <c r="Q41" i="205"/>
  <c r="R41" i="205" s="1"/>
  <c r="Y41" i="205" s="1"/>
  <c r="Q42" i="205"/>
  <c r="R42" i="205" s="1"/>
  <c r="Y42" i="205" s="1"/>
  <c r="O35" i="205"/>
  <c r="O37" i="205" s="1"/>
  <c r="Q35" i="205"/>
  <c r="O29" i="205"/>
  <c r="O32" i="205"/>
  <c r="Q29" i="205"/>
  <c r="Q30" i="205"/>
  <c r="R30" i="205" s="1"/>
  <c r="Y30" i="205" s="1"/>
  <c r="Q32" i="205"/>
  <c r="R32" i="205" s="1"/>
  <c r="O22" i="205"/>
  <c r="Q22" i="205"/>
  <c r="R22" i="205" s="1"/>
  <c r="Q17" i="205"/>
  <c r="R17" i="205" s="1"/>
  <c r="B60" i="2"/>
  <c r="D60" i="2"/>
  <c r="C60" i="2"/>
  <c r="Q16" i="205"/>
  <c r="Q20" i="205" s="1"/>
  <c r="O50" i="205"/>
  <c r="Q50" i="205"/>
  <c r="O51" i="205"/>
  <c r="Q51" i="205"/>
  <c r="R51" i="205" s="1"/>
  <c r="O73" i="205"/>
  <c r="Q73" i="205"/>
  <c r="R73" i="205" s="1"/>
  <c r="Y73" i="205" s="1"/>
  <c r="Y74" i="205" s="1"/>
  <c r="O101" i="205"/>
  <c r="Q101" i="205"/>
  <c r="R101" i="205" s="1"/>
  <c r="Y101" i="205" s="1"/>
  <c r="Y102" i="205" s="1"/>
  <c r="Q61" i="205"/>
  <c r="R61" i="205" s="1"/>
  <c r="Y61" i="205" s="1"/>
  <c r="Y63" i="205" s="1"/>
  <c r="I63" i="205"/>
  <c r="I74" i="205"/>
  <c r="I102" i="205"/>
  <c r="J63" i="205"/>
  <c r="J74" i="205"/>
  <c r="J102" i="205"/>
  <c r="K63" i="205"/>
  <c r="K74" i="205"/>
  <c r="K102" i="205"/>
  <c r="L63" i="205"/>
  <c r="L74" i="205"/>
  <c r="L102" i="205"/>
  <c r="M63" i="205"/>
  <c r="M74" i="205"/>
  <c r="M102" i="205"/>
  <c r="N63" i="205"/>
  <c r="N74" i="205"/>
  <c r="N102" i="205"/>
  <c r="P63" i="205"/>
  <c r="P74" i="205"/>
  <c r="AD63" i="205"/>
  <c r="AD74" i="205"/>
  <c r="AD102" i="205"/>
  <c r="AE63" i="205"/>
  <c r="AE74" i="205"/>
  <c r="AE102" i="205"/>
  <c r="AF63" i="205"/>
  <c r="AF74" i="205"/>
  <c r="AF102" i="205"/>
  <c r="AG63" i="205"/>
  <c r="AG74" i="205"/>
  <c r="AG102" i="205"/>
  <c r="Q16" i="210"/>
  <c r="O17" i="210"/>
  <c r="Q17" i="210"/>
  <c r="R17" i="210" s="1"/>
  <c r="S17" i="210" s="1"/>
  <c r="Q19" i="210"/>
  <c r="R19" i="210" s="1"/>
  <c r="Y19" i="210" s="1"/>
  <c r="O21" i="210"/>
  <c r="Q21" i="210"/>
  <c r="R21" i="210" s="1"/>
  <c r="O22" i="210"/>
  <c r="Q22" i="210"/>
  <c r="R22" i="210" s="1"/>
  <c r="W22" i="210" s="1"/>
  <c r="O18" i="210"/>
  <c r="Q18" i="210"/>
  <c r="R18" i="210" s="1"/>
  <c r="Y18" i="210" s="1"/>
  <c r="O20" i="210"/>
  <c r="Q20" i="210"/>
  <c r="R20" i="210" s="1"/>
  <c r="I27" i="210"/>
  <c r="J27" i="210"/>
  <c r="K27" i="210"/>
  <c r="L27" i="210"/>
  <c r="M27" i="210"/>
  <c r="N27" i="210"/>
  <c r="AD27" i="210"/>
  <c r="AE27" i="210"/>
  <c r="AF27" i="210"/>
  <c r="Q18" i="203"/>
  <c r="J18" i="203"/>
  <c r="O18" i="203" s="1"/>
  <c r="Q17" i="203"/>
  <c r="J17" i="203"/>
  <c r="Q19" i="203"/>
  <c r="J19" i="203"/>
  <c r="O19" i="203" s="1"/>
  <c r="Q16" i="203"/>
  <c r="Q24" i="203" s="1"/>
  <c r="J16" i="203"/>
  <c r="D63" i="2"/>
  <c r="D62" i="2"/>
  <c r="D61" i="2"/>
  <c r="D59" i="2"/>
  <c r="C63" i="2"/>
  <c r="C62" i="2"/>
  <c r="C61" i="2"/>
  <c r="C59" i="2"/>
  <c r="B63" i="2"/>
  <c r="B62" i="2"/>
  <c r="C15" i="68"/>
  <c r="C26" i="68" s="1"/>
  <c r="D53" i="2"/>
  <c r="C22" i="68" l="1"/>
  <c r="O27" i="210"/>
  <c r="R16" i="210"/>
  <c r="R27" i="210" s="1"/>
  <c r="Q27" i="210"/>
  <c r="R139" i="206"/>
  <c r="R140" i="206" s="1"/>
  <c r="Q140" i="206"/>
  <c r="Q30" i="208"/>
  <c r="R12" i="208"/>
  <c r="S12" i="208" s="1"/>
  <c r="Q52" i="205"/>
  <c r="Q44" i="205"/>
  <c r="AG111" i="205"/>
  <c r="R35" i="205"/>
  <c r="S35" i="205" s="1"/>
  <c r="S37" i="205" s="1"/>
  <c r="Q37" i="205"/>
  <c r="AE111" i="205"/>
  <c r="P111" i="205"/>
  <c r="M111" i="205"/>
  <c r="K111" i="205"/>
  <c r="I111" i="205"/>
  <c r="O52" i="205"/>
  <c r="R29" i="205"/>
  <c r="W29" i="205" s="1"/>
  <c r="Q33" i="205"/>
  <c r="O33" i="205"/>
  <c r="R47" i="205"/>
  <c r="W47" i="205" s="1"/>
  <c r="W48" i="205" s="1"/>
  <c r="Q48" i="205"/>
  <c r="AF111" i="205"/>
  <c r="AD111" i="205"/>
  <c r="N111" i="205"/>
  <c r="L111" i="205"/>
  <c r="J111" i="205"/>
  <c r="H111" i="205"/>
  <c r="Q46" i="206"/>
  <c r="Y42" i="206"/>
  <c r="O46" i="206"/>
  <c r="O16" i="203"/>
  <c r="J24" i="203"/>
  <c r="R16" i="205"/>
  <c r="O71" i="205"/>
  <c r="O99" i="205"/>
  <c r="R20" i="203"/>
  <c r="U20" i="203" s="1"/>
  <c r="O127" i="206"/>
  <c r="O84" i="206"/>
  <c r="O80" i="206"/>
  <c r="Y17" i="205"/>
  <c r="S51" i="205"/>
  <c r="T51" i="205" s="1"/>
  <c r="Y51" i="205"/>
  <c r="S76" i="205"/>
  <c r="Y76" i="205"/>
  <c r="Y78" i="205" s="1"/>
  <c r="S86" i="205"/>
  <c r="T86" i="205" s="1"/>
  <c r="Y86" i="205"/>
  <c r="Y87" i="205" s="1"/>
  <c r="S22" i="205"/>
  <c r="T22" i="205" s="1"/>
  <c r="Y22" i="205"/>
  <c r="Y23" i="205" s="1"/>
  <c r="S32" i="205"/>
  <c r="T32" i="205" s="1"/>
  <c r="Y32" i="205"/>
  <c r="Y99" i="205"/>
  <c r="W30" i="205"/>
  <c r="U30" i="205"/>
  <c r="O102" i="205"/>
  <c r="O74" i="205"/>
  <c r="S81" i="205"/>
  <c r="T81" i="205" s="1"/>
  <c r="W81" i="205"/>
  <c r="U121" i="206"/>
  <c r="Y121" i="206"/>
  <c r="U119" i="206"/>
  <c r="Y119" i="206"/>
  <c r="U113" i="206"/>
  <c r="Y113" i="206"/>
  <c r="U123" i="206"/>
  <c r="Y123" i="206"/>
  <c r="U120" i="206"/>
  <c r="Y120" i="206"/>
  <c r="U114" i="206"/>
  <c r="Y114" i="206"/>
  <c r="S42" i="206"/>
  <c r="T42" i="206" s="1"/>
  <c r="W42" i="206"/>
  <c r="U42" i="206"/>
  <c r="R156" i="206"/>
  <c r="S17" i="205"/>
  <c r="W17" i="205"/>
  <c r="U17" i="205"/>
  <c r="S30" i="205"/>
  <c r="T30" i="205" s="1"/>
  <c r="R40" i="205"/>
  <c r="U40" i="205" s="1"/>
  <c r="R145" i="206"/>
  <c r="Q36" i="207"/>
  <c r="O36" i="207"/>
  <c r="R66" i="205"/>
  <c r="Q71" i="205"/>
  <c r="R55" i="205"/>
  <c r="R56" i="205" s="1"/>
  <c r="R18" i="203"/>
  <c r="Y18" i="203" s="1"/>
  <c r="R19" i="203"/>
  <c r="W19" i="203" s="1"/>
  <c r="O30" i="206"/>
  <c r="Q22" i="206"/>
  <c r="Q127" i="206"/>
  <c r="R95" i="206"/>
  <c r="R109" i="206" s="1"/>
  <c r="Q84" i="206"/>
  <c r="R80" i="206"/>
  <c r="Q80" i="206"/>
  <c r="R27" i="206"/>
  <c r="R30" i="206" s="1"/>
  <c r="Q30" i="206"/>
  <c r="R64" i="206"/>
  <c r="R68" i="206" s="1"/>
  <c r="Q68" i="206"/>
  <c r="R134" i="206"/>
  <c r="S134" i="206" s="1"/>
  <c r="Q134" i="206"/>
  <c r="R142" i="206"/>
  <c r="Q150" i="206"/>
  <c r="O150" i="206"/>
  <c r="S22" i="210"/>
  <c r="T22" i="210" s="1"/>
  <c r="C16" i="68"/>
  <c r="C18" i="68" s="1"/>
  <c r="U18" i="210"/>
  <c r="Y22" i="210"/>
  <c r="U22" i="210"/>
  <c r="S16" i="210"/>
  <c r="Q94" i="205"/>
  <c r="S98" i="205"/>
  <c r="T98" i="205" s="1"/>
  <c r="U98" i="205"/>
  <c r="W98" i="205"/>
  <c r="S68" i="205"/>
  <c r="T68" i="205" s="1"/>
  <c r="U68" i="205"/>
  <c r="W68" i="205"/>
  <c r="S58" i="205"/>
  <c r="T58" i="205" s="1"/>
  <c r="U58" i="205"/>
  <c r="W58" i="205"/>
  <c r="W59" i="205" s="1"/>
  <c r="S69" i="205"/>
  <c r="T69" i="205" s="1"/>
  <c r="U69" i="205"/>
  <c r="W69" i="205"/>
  <c r="S77" i="205"/>
  <c r="T77" i="205" s="1"/>
  <c r="U77" i="205"/>
  <c r="W77" i="205"/>
  <c r="T76" i="205"/>
  <c r="W67" i="205"/>
  <c r="U67" i="205"/>
  <c r="S67" i="205"/>
  <c r="T67" i="205" s="1"/>
  <c r="W76" i="205"/>
  <c r="U76" i="205"/>
  <c r="S87" i="205"/>
  <c r="R92" i="205"/>
  <c r="O94" i="205"/>
  <c r="W97" i="205"/>
  <c r="U97" i="205"/>
  <c r="S97" i="205"/>
  <c r="T97" i="205" s="1"/>
  <c r="U22" i="205"/>
  <c r="W86" i="205"/>
  <c r="U86" i="205"/>
  <c r="V86" i="205" s="1"/>
  <c r="V15" i="206"/>
  <c r="C19" i="68"/>
  <c r="Q74" i="205"/>
  <c r="R87" i="205"/>
  <c r="Q87" i="205"/>
  <c r="O87" i="205"/>
  <c r="Q90" i="205"/>
  <c r="R13" i="206"/>
  <c r="R22" i="206" s="1"/>
  <c r="W15" i="206"/>
  <c r="R32" i="206"/>
  <c r="R37" i="206" s="1"/>
  <c r="Y78" i="206"/>
  <c r="Y75" i="206"/>
  <c r="W22" i="205"/>
  <c r="O90" i="205"/>
  <c r="U78" i="206"/>
  <c r="W17" i="206"/>
  <c r="U17" i="206"/>
  <c r="W78" i="206"/>
  <c r="AC155" i="206"/>
  <c r="AB155" i="206"/>
  <c r="S73" i="205"/>
  <c r="S74" i="205" s="1"/>
  <c r="R74" i="205"/>
  <c r="R59" i="205"/>
  <c r="Q59" i="205"/>
  <c r="O59" i="205"/>
  <c r="R78" i="205"/>
  <c r="Q78" i="205"/>
  <c r="O78" i="205"/>
  <c r="R17" i="203"/>
  <c r="O17" i="203"/>
  <c r="R102" i="205"/>
  <c r="S101" i="205"/>
  <c r="S102" i="205" s="1"/>
  <c r="U101" i="205"/>
  <c r="U102" i="205" s="1"/>
  <c r="W101" i="205"/>
  <c r="W102" i="205" s="1"/>
  <c r="U42" i="205"/>
  <c r="S42" i="205"/>
  <c r="T42" i="205" s="1"/>
  <c r="W42" i="205"/>
  <c r="S41" i="205"/>
  <c r="T41" i="205" s="1"/>
  <c r="U41" i="205"/>
  <c r="W41" i="205"/>
  <c r="R16" i="203"/>
  <c r="S20" i="210"/>
  <c r="T20" i="210" s="1"/>
  <c r="U20" i="210"/>
  <c r="W20" i="210"/>
  <c r="Y20" i="210"/>
  <c r="W18" i="210"/>
  <c r="S18" i="210"/>
  <c r="T18" i="210" s="1"/>
  <c r="S21" i="210"/>
  <c r="T21" i="210" s="1"/>
  <c r="U21" i="210"/>
  <c r="W21" i="210"/>
  <c r="Y21" i="210"/>
  <c r="S19" i="210"/>
  <c r="T19" i="210" s="1"/>
  <c r="U19" i="210"/>
  <c r="W19" i="210"/>
  <c r="R63" i="205"/>
  <c r="S63" i="205" s="1"/>
  <c r="U61" i="205"/>
  <c r="U63" i="205" s="1"/>
  <c r="S61" i="205"/>
  <c r="W61" i="205"/>
  <c r="W63" i="205" s="1"/>
  <c r="U81" i="205"/>
  <c r="S89" i="205"/>
  <c r="U89" i="205"/>
  <c r="W89" i="205"/>
  <c r="Q83" i="205"/>
  <c r="R82" i="206"/>
  <c r="R84" i="206" s="1"/>
  <c r="S79" i="206"/>
  <c r="T79" i="206" s="1"/>
  <c r="U79" i="206"/>
  <c r="W79" i="206"/>
  <c r="Y79" i="206"/>
  <c r="S74" i="206"/>
  <c r="T74" i="206" s="1"/>
  <c r="U74" i="206"/>
  <c r="W74" i="206"/>
  <c r="Y74" i="206"/>
  <c r="R40" i="206"/>
  <c r="R46" i="206" s="1"/>
  <c r="S16" i="208"/>
  <c r="T16" i="208" s="1"/>
  <c r="U16" i="208"/>
  <c r="W16" i="208"/>
  <c r="Y16" i="208"/>
  <c r="S18" i="208"/>
  <c r="T18" i="208" s="1"/>
  <c r="U18" i="208"/>
  <c r="W18" i="208"/>
  <c r="Y18" i="208"/>
  <c r="W12" i="208"/>
  <c r="T17" i="210"/>
  <c r="Y17" i="210"/>
  <c r="W17" i="210"/>
  <c r="U17" i="210"/>
  <c r="Y16" i="210"/>
  <c r="W16" i="210"/>
  <c r="U16" i="210"/>
  <c r="Q102" i="205"/>
  <c r="Q63" i="205"/>
  <c r="W73" i="205"/>
  <c r="W74" i="205" s="1"/>
  <c r="U73" i="205"/>
  <c r="U74" i="205" s="1"/>
  <c r="W51" i="205"/>
  <c r="U51" i="205"/>
  <c r="R50" i="205"/>
  <c r="R23" i="205"/>
  <c r="Q23" i="205"/>
  <c r="O23" i="205"/>
  <c r="W32" i="205"/>
  <c r="U32" i="205"/>
  <c r="S29" i="205"/>
  <c r="U47" i="205"/>
  <c r="U48" i="205" s="1"/>
  <c r="R80" i="205"/>
  <c r="Y80" i="205" s="1"/>
  <c r="Y83" i="205" s="1"/>
  <c r="R99" i="205"/>
  <c r="Q99" i="205"/>
  <c r="T78" i="206"/>
  <c r="S77" i="206"/>
  <c r="T77" i="206" s="1"/>
  <c r="U77" i="206"/>
  <c r="W77" i="206"/>
  <c r="Y77" i="206"/>
  <c r="W75" i="206"/>
  <c r="S75" i="206"/>
  <c r="T75" i="206" s="1"/>
  <c r="V75" i="206" s="1"/>
  <c r="S20" i="208"/>
  <c r="T20" i="208" s="1"/>
  <c r="U20" i="208"/>
  <c r="W20" i="208"/>
  <c r="Y20" i="208"/>
  <c r="S15" i="208"/>
  <c r="T15" i="208" s="1"/>
  <c r="U15" i="208"/>
  <c r="W15" i="208"/>
  <c r="Y15" i="208"/>
  <c r="Y29" i="206"/>
  <c r="W29" i="206"/>
  <c r="U29" i="206"/>
  <c r="V29" i="206" s="1"/>
  <c r="Y21" i="208"/>
  <c r="W21" i="208"/>
  <c r="U21" i="208"/>
  <c r="V21" i="208" s="1"/>
  <c r="Y19" i="208"/>
  <c r="W19" i="208"/>
  <c r="U19" i="208"/>
  <c r="V19" i="208" s="1"/>
  <c r="Y17" i="208"/>
  <c r="W17" i="208"/>
  <c r="U17" i="208"/>
  <c r="V17" i="208" s="1"/>
  <c r="Y13" i="208"/>
  <c r="W13" i="208"/>
  <c r="U13" i="208"/>
  <c r="V13" i="208" s="1"/>
  <c r="U14" i="206"/>
  <c r="U102" i="206"/>
  <c r="U22" i="208"/>
  <c r="W14" i="206"/>
  <c r="T102" i="206"/>
  <c r="U146" i="206"/>
  <c r="S144" i="206"/>
  <c r="T144" i="206" s="1"/>
  <c r="U144" i="206"/>
  <c r="W144" i="206"/>
  <c r="S129" i="206"/>
  <c r="T129" i="206" s="1"/>
  <c r="U129" i="206"/>
  <c r="W129" i="206"/>
  <c r="W102" i="206"/>
  <c r="U143" i="206"/>
  <c r="S146" i="206"/>
  <c r="T146" i="206" s="1"/>
  <c r="W146" i="206"/>
  <c r="U147" i="206"/>
  <c r="U65" i="206"/>
  <c r="S113" i="206"/>
  <c r="T113" i="206" s="1"/>
  <c r="S120" i="206"/>
  <c r="S121" i="206"/>
  <c r="T121" i="206" s="1"/>
  <c r="W113" i="206"/>
  <c r="W120" i="206"/>
  <c r="W121" i="206"/>
  <c r="S119" i="206"/>
  <c r="T119" i="206" s="1"/>
  <c r="W119" i="206"/>
  <c r="S114" i="206"/>
  <c r="T114" i="206" s="1"/>
  <c r="W114" i="206"/>
  <c r="Y65" i="206"/>
  <c r="S148" i="206"/>
  <c r="T148" i="206" s="1"/>
  <c r="U148" i="206"/>
  <c r="W148" i="206"/>
  <c r="Y148" i="206"/>
  <c r="Y147" i="206"/>
  <c r="Y143" i="206"/>
  <c r="S149" i="206"/>
  <c r="T149" i="206" s="1"/>
  <c r="U149" i="206"/>
  <c r="W149" i="206"/>
  <c r="Y149" i="206"/>
  <c r="Y22" i="208"/>
  <c r="Y102" i="206"/>
  <c r="R111" i="206"/>
  <c r="R127" i="206" s="1"/>
  <c r="Y129" i="206"/>
  <c r="Y144" i="206"/>
  <c r="W65" i="206"/>
  <c r="S65" i="206"/>
  <c r="T65" i="206" s="1"/>
  <c r="W147" i="206"/>
  <c r="S147" i="206"/>
  <c r="T147" i="206" s="1"/>
  <c r="Y146" i="206"/>
  <c r="W143" i="206"/>
  <c r="S143" i="206"/>
  <c r="T143" i="206" s="1"/>
  <c r="S123" i="206"/>
  <c r="T123" i="206" s="1"/>
  <c r="W123" i="206"/>
  <c r="S22" i="208"/>
  <c r="T22" i="208" s="1"/>
  <c r="W22" i="208"/>
  <c r="S20" i="203"/>
  <c r="T20" i="203" s="1"/>
  <c r="R36" i="207"/>
  <c r="U12" i="208" l="1"/>
  <c r="W27" i="210"/>
  <c r="U35" i="205"/>
  <c r="U37" i="205" s="1"/>
  <c r="W35" i="205"/>
  <c r="W37" i="205" s="1"/>
  <c r="U27" i="210"/>
  <c r="Y27" i="210"/>
  <c r="T16" i="210"/>
  <c r="T27" i="210" s="1"/>
  <c r="S27" i="210"/>
  <c r="Y12" i="208"/>
  <c r="U44" i="205"/>
  <c r="V22" i="205"/>
  <c r="X22" i="205" s="1"/>
  <c r="O165" i="206"/>
  <c r="U145" i="206"/>
  <c r="T12" i="208"/>
  <c r="S47" i="205"/>
  <c r="S48" i="205" s="1"/>
  <c r="U29" i="205"/>
  <c r="U33" i="205" s="1"/>
  <c r="O111" i="205"/>
  <c r="W33" i="205"/>
  <c r="Q111" i="205"/>
  <c r="Y47" i="205"/>
  <c r="Y48" i="205" s="1"/>
  <c r="R48" i="205"/>
  <c r="Y40" i="205"/>
  <c r="Y44" i="205" s="1"/>
  <c r="R44" i="205"/>
  <c r="S33" i="205"/>
  <c r="Y50" i="205"/>
  <c r="Y52" i="205" s="1"/>
  <c r="R52" i="205"/>
  <c r="V30" i="205"/>
  <c r="X30" i="205" s="1"/>
  <c r="Z30" i="205" s="1"/>
  <c r="AB30" i="205" s="1"/>
  <c r="Y16" i="205"/>
  <c r="Y20" i="205" s="1"/>
  <c r="R20" i="205"/>
  <c r="Y29" i="205"/>
  <c r="Y33" i="205" s="1"/>
  <c r="R33" i="205"/>
  <c r="Y35" i="205"/>
  <c r="Y37" i="205" s="1"/>
  <c r="R37" i="205"/>
  <c r="R24" i="203"/>
  <c r="W16" i="205"/>
  <c r="W20" i="205" s="1"/>
  <c r="V32" i="205"/>
  <c r="X32" i="205" s="1"/>
  <c r="Z32" i="205" s="1"/>
  <c r="AB32" i="205" s="1"/>
  <c r="O24" i="203"/>
  <c r="R150" i="206"/>
  <c r="W20" i="203"/>
  <c r="Y20" i="203"/>
  <c r="W40" i="205"/>
  <c r="W44" i="205" s="1"/>
  <c r="V42" i="205"/>
  <c r="X42" i="205" s="1"/>
  <c r="Z42" i="205" s="1"/>
  <c r="AB42" i="205" s="1"/>
  <c r="U16" i="205"/>
  <c r="U20" i="205" s="1"/>
  <c r="S16" i="205"/>
  <c r="S20" i="205" s="1"/>
  <c r="T17" i="205"/>
  <c r="X86" i="205"/>
  <c r="S92" i="205"/>
  <c r="T92" i="205" s="1"/>
  <c r="Y92" i="205"/>
  <c r="Y94" i="205" s="1"/>
  <c r="Y55" i="205"/>
  <c r="Y56" i="205" s="1"/>
  <c r="W66" i="205"/>
  <c r="W71" i="205" s="1"/>
  <c r="Y66" i="205"/>
  <c r="Y71" i="205" s="1"/>
  <c r="S40" i="205"/>
  <c r="U40" i="206"/>
  <c r="U46" i="206" s="1"/>
  <c r="W145" i="206"/>
  <c r="R159" i="206"/>
  <c r="Q159" i="206"/>
  <c r="Q165" i="206" s="1"/>
  <c r="U18" i="203"/>
  <c r="S145" i="206"/>
  <c r="T145" i="206" s="1"/>
  <c r="Y145" i="206"/>
  <c r="U64" i="206"/>
  <c r="U68" i="206" s="1"/>
  <c r="U19" i="203"/>
  <c r="C21" i="68"/>
  <c r="C24" i="68" s="1"/>
  <c r="C28" i="68" s="1"/>
  <c r="C40" i="68" s="1"/>
  <c r="U95" i="206"/>
  <c r="U109" i="206" s="1"/>
  <c r="Y64" i="206"/>
  <c r="Y68" i="206" s="1"/>
  <c r="W27" i="206"/>
  <c r="W30" i="206" s="1"/>
  <c r="S55" i="205"/>
  <c r="S95" i="206"/>
  <c r="S109" i="206" s="1"/>
  <c r="W142" i="206"/>
  <c r="W150" i="206" s="1"/>
  <c r="U66" i="205"/>
  <c r="U71" i="205" s="1"/>
  <c r="U99" i="205"/>
  <c r="U59" i="205"/>
  <c r="W55" i="205"/>
  <c r="W56" i="205" s="1"/>
  <c r="S64" i="206"/>
  <c r="S68" i="206" s="1"/>
  <c r="W64" i="206"/>
  <c r="W68" i="206" s="1"/>
  <c r="S142" i="206"/>
  <c r="T142" i="206" s="1"/>
  <c r="T150" i="206" s="1"/>
  <c r="V102" i="206"/>
  <c r="X102" i="206" s="1"/>
  <c r="W80" i="206"/>
  <c r="U55" i="205"/>
  <c r="U56" i="205" s="1"/>
  <c r="S66" i="205"/>
  <c r="R71" i="205"/>
  <c r="W95" i="206"/>
  <c r="W109" i="206" s="1"/>
  <c r="Y95" i="206"/>
  <c r="Y109" i="206" s="1"/>
  <c r="Y19" i="203"/>
  <c r="S19" i="203"/>
  <c r="T19" i="203" s="1"/>
  <c r="S18" i="203"/>
  <c r="T18" i="203" s="1"/>
  <c r="W18" i="203"/>
  <c r="V22" i="208"/>
  <c r="X22" i="208" s="1"/>
  <c r="Y142" i="206"/>
  <c r="Y150" i="206" s="1"/>
  <c r="W134" i="206"/>
  <c r="U134" i="206"/>
  <c r="U142" i="206"/>
  <c r="U150" i="206" s="1"/>
  <c r="S27" i="206"/>
  <c r="S30" i="206" s="1"/>
  <c r="S80" i="206"/>
  <c r="Y134" i="206"/>
  <c r="Y27" i="206"/>
  <c r="Y30" i="206" s="1"/>
  <c r="U27" i="206"/>
  <c r="U30" i="206" s="1"/>
  <c r="Y80" i="206"/>
  <c r="U80" i="206"/>
  <c r="W92" i="205"/>
  <c r="W87" i="205"/>
  <c r="R94" i="205"/>
  <c r="U92" i="205"/>
  <c r="V18" i="210"/>
  <c r="X18" i="210" s="1"/>
  <c r="W99" i="205"/>
  <c r="U78" i="205"/>
  <c r="V98" i="205"/>
  <c r="X98" i="205" s="1"/>
  <c r="Z98" i="205" s="1"/>
  <c r="AB98" i="205" s="1"/>
  <c r="V22" i="210"/>
  <c r="X22" i="210" s="1"/>
  <c r="V21" i="210"/>
  <c r="X21" i="210" s="1"/>
  <c r="Z21" i="210" s="1"/>
  <c r="V20" i="210"/>
  <c r="X20" i="210" s="1"/>
  <c r="Z20" i="210" s="1"/>
  <c r="S78" i="205"/>
  <c r="S59" i="205"/>
  <c r="S90" i="205"/>
  <c r="W78" i="205"/>
  <c r="U23" i="205"/>
  <c r="T59" i="205"/>
  <c r="U87" i="205"/>
  <c r="T78" i="205"/>
  <c r="S99" i="205"/>
  <c r="W23" i="205"/>
  <c r="V68" i="205"/>
  <c r="X68" i="205" s="1"/>
  <c r="Z68" i="205" s="1"/>
  <c r="AB68" i="205" s="1"/>
  <c r="V69" i="205"/>
  <c r="X69" i="205" s="1"/>
  <c r="Z69" i="205" s="1"/>
  <c r="AB69" i="205" s="1"/>
  <c r="V97" i="205"/>
  <c r="X97" i="205" s="1"/>
  <c r="T99" i="205"/>
  <c r="T73" i="205"/>
  <c r="V73" i="205" s="1"/>
  <c r="X73" i="205" s="1"/>
  <c r="V76" i="205"/>
  <c r="X76" i="205" s="1"/>
  <c r="V77" i="205"/>
  <c r="X77" i="205" s="1"/>
  <c r="Z77" i="205" s="1"/>
  <c r="AB77" i="205" s="1"/>
  <c r="V58" i="205"/>
  <c r="X58" i="205" s="1"/>
  <c r="V67" i="205"/>
  <c r="X67" i="205" s="1"/>
  <c r="Z67" i="205" s="1"/>
  <c r="AB67" i="205" s="1"/>
  <c r="Y139" i="206"/>
  <c r="Y140" i="206" s="1"/>
  <c r="Y32" i="206"/>
  <c r="Y37" i="206" s="1"/>
  <c r="X21" i="208"/>
  <c r="V16" i="208"/>
  <c r="X16" i="208" s="1"/>
  <c r="X17" i="208"/>
  <c r="U32" i="206"/>
  <c r="U37" i="206" s="1"/>
  <c r="U139" i="206"/>
  <c r="U140" i="206" s="1"/>
  <c r="S13" i="206"/>
  <c r="S22" i="206" s="1"/>
  <c r="V78" i="206"/>
  <c r="X78" i="206" s="1"/>
  <c r="W156" i="206"/>
  <c r="S32" i="206"/>
  <c r="S37" i="206" s="1"/>
  <c r="W32" i="206"/>
  <c r="W37" i="206" s="1"/>
  <c r="W139" i="206"/>
  <c r="W140" i="206" s="1"/>
  <c r="S139" i="206"/>
  <c r="S140" i="206" s="1"/>
  <c r="W13" i="206"/>
  <c r="W22" i="206" s="1"/>
  <c r="S156" i="206"/>
  <c r="T120" i="206"/>
  <c r="V120" i="206" s="1"/>
  <c r="X120" i="206" s="1"/>
  <c r="Y13" i="206"/>
  <c r="Y22" i="206" s="1"/>
  <c r="U13" i="206"/>
  <c r="U22" i="206" s="1"/>
  <c r="V143" i="206"/>
  <c r="X143" i="206" s="1"/>
  <c r="V65" i="206"/>
  <c r="X65" i="206" s="1"/>
  <c r="X15" i="206"/>
  <c r="Z15" i="206" s="1"/>
  <c r="X19" i="208"/>
  <c r="X13" i="208"/>
  <c r="V18" i="208"/>
  <c r="X18" i="208" s="1"/>
  <c r="Y156" i="206"/>
  <c r="V146" i="206"/>
  <c r="X146" i="206" s="1"/>
  <c r="V14" i="206"/>
  <c r="X14" i="206" s="1"/>
  <c r="Z14" i="206" s="1"/>
  <c r="V147" i="206"/>
  <c r="X147" i="206" s="1"/>
  <c r="V149" i="206"/>
  <c r="X149" i="206" s="1"/>
  <c r="V148" i="206"/>
  <c r="X148" i="206" s="1"/>
  <c r="V123" i="206"/>
  <c r="X123" i="206" s="1"/>
  <c r="V114" i="206"/>
  <c r="X114" i="206" s="1"/>
  <c r="V17" i="206"/>
  <c r="X17" i="206" s="1"/>
  <c r="Z17" i="206" s="1"/>
  <c r="R90" i="205"/>
  <c r="V81" i="205"/>
  <c r="X81" i="205" s="1"/>
  <c r="Z81" i="205" s="1"/>
  <c r="V42" i="206"/>
  <c r="X42" i="206" s="1"/>
  <c r="Z42" i="206" s="1"/>
  <c r="AB42" i="206" s="1"/>
  <c r="X75" i="206"/>
  <c r="AH155" i="206"/>
  <c r="AI155" i="206" s="1"/>
  <c r="V74" i="206"/>
  <c r="X74" i="206" s="1"/>
  <c r="V79" i="206"/>
  <c r="X79" i="206" s="1"/>
  <c r="S23" i="205"/>
  <c r="V41" i="205"/>
  <c r="X41" i="205" s="1"/>
  <c r="Z41" i="205" s="1"/>
  <c r="AB41" i="205" s="1"/>
  <c r="T35" i="205"/>
  <c r="T37" i="205" s="1"/>
  <c r="X29" i="206"/>
  <c r="T23" i="205"/>
  <c r="V20" i="203"/>
  <c r="X20" i="203" s="1"/>
  <c r="V119" i="206"/>
  <c r="V113" i="206"/>
  <c r="T134" i="206"/>
  <c r="V129" i="206"/>
  <c r="X129" i="206" s="1"/>
  <c r="Z129" i="206" s="1"/>
  <c r="V144" i="206"/>
  <c r="X144" i="206" s="1"/>
  <c r="Z144" i="206" s="1"/>
  <c r="V15" i="208"/>
  <c r="X15" i="208" s="1"/>
  <c r="Z15" i="208" s="1"/>
  <c r="V20" i="208"/>
  <c r="X20" i="208" s="1"/>
  <c r="Z20" i="208" s="1"/>
  <c r="V77" i="206"/>
  <c r="X77" i="206" s="1"/>
  <c r="Z77" i="206" s="1"/>
  <c r="T29" i="205"/>
  <c r="T33" i="205" s="1"/>
  <c r="S50" i="205"/>
  <c r="S52" i="205" s="1"/>
  <c r="U50" i="205"/>
  <c r="U52" i="205" s="1"/>
  <c r="W50" i="205"/>
  <c r="W52" i="205" s="1"/>
  <c r="V16" i="210"/>
  <c r="S40" i="206"/>
  <c r="S46" i="206" s="1"/>
  <c r="W40" i="206"/>
  <c r="W46" i="206" s="1"/>
  <c r="Y40" i="206"/>
  <c r="Y46" i="206" s="1"/>
  <c r="S82" i="206"/>
  <c r="S84" i="206" s="1"/>
  <c r="W82" i="206"/>
  <c r="W84" i="206" s="1"/>
  <c r="U82" i="206"/>
  <c r="U84" i="206" s="1"/>
  <c r="Y82" i="206"/>
  <c r="Y84" i="206" s="1"/>
  <c r="W90" i="205"/>
  <c r="V19" i="210"/>
  <c r="X19" i="210" s="1"/>
  <c r="Z19" i="210" s="1"/>
  <c r="T101" i="205"/>
  <c r="S111" i="206"/>
  <c r="S127" i="206" s="1"/>
  <c r="U111" i="206"/>
  <c r="U127" i="206" s="1"/>
  <c r="W111" i="206"/>
  <c r="W127" i="206" s="1"/>
  <c r="Y111" i="206"/>
  <c r="Y127" i="206" s="1"/>
  <c r="V121" i="206"/>
  <c r="R83" i="205"/>
  <c r="S80" i="205"/>
  <c r="S83" i="205" s="1"/>
  <c r="U80" i="205"/>
  <c r="U83" i="205" s="1"/>
  <c r="W80" i="205"/>
  <c r="W83" i="205" s="1"/>
  <c r="T47" i="205"/>
  <c r="T48" i="205" s="1"/>
  <c r="V51" i="205"/>
  <c r="X51" i="205" s="1"/>
  <c r="Z51" i="205" s="1"/>
  <c r="AB51" i="205" s="1"/>
  <c r="V17" i="210"/>
  <c r="X17" i="210" s="1"/>
  <c r="Z17" i="210" s="1"/>
  <c r="T89" i="205"/>
  <c r="T61" i="205"/>
  <c r="S16" i="203"/>
  <c r="W16" i="203"/>
  <c r="U16" i="203"/>
  <c r="Y16" i="203"/>
  <c r="S17" i="203"/>
  <c r="T17" i="203" s="1"/>
  <c r="U17" i="203"/>
  <c r="W17" i="203"/>
  <c r="Y17" i="203"/>
  <c r="S36" i="207"/>
  <c r="U36" i="207"/>
  <c r="W36" i="207"/>
  <c r="Y36" i="207"/>
  <c r="Z20" i="203" l="1"/>
  <c r="AC20" i="203" s="1"/>
  <c r="AH20" i="203" s="1"/>
  <c r="AI20" i="203" s="1"/>
  <c r="X16" i="210"/>
  <c r="V27" i="210"/>
  <c r="R165" i="206"/>
  <c r="S94" i="205"/>
  <c r="Y165" i="206"/>
  <c r="V12" i="208"/>
  <c r="Y111" i="205"/>
  <c r="T55" i="205"/>
  <c r="T56" i="205" s="1"/>
  <c r="S56" i="205"/>
  <c r="T40" i="205"/>
  <c r="S44" i="205"/>
  <c r="R111" i="205"/>
  <c r="V92" i="205"/>
  <c r="X92" i="205" s="1"/>
  <c r="Y24" i="203"/>
  <c r="W24" i="203"/>
  <c r="U24" i="203"/>
  <c r="T16" i="203"/>
  <c r="T24" i="203" s="1"/>
  <c r="S24" i="203"/>
  <c r="V18" i="203"/>
  <c r="X18" i="203" s="1"/>
  <c r="Z18" i="203" s="1"/>
  <c r="AC18" i="203" s="1"/>
  <c r="AH18" i="203" s="1"/>
  <c r="AI18" i="203" s="1"/>
  <c r="T16" i="205"/>
  <c r="V17" i="205"/>
  <c r="Z73" i="205"/>
  <c r="X74" i="205"/>
  <c r="Z97" i="205"/>
  <c r="X99" i="205"/>
  <c r="AB81" i="205"/>
  <c r="AC81" i="205"/>
  <c r="AH81" i="205" s="1"/>
  <c r="Z58" i="205"/>
  <c r="X59" i="205"/>
  <c r="Z76" i="205"/>
  <c r="X78" i="205"/>
  <c r="Z22" i="205"/>
  <c r="AC22" i="205" s="1"/>
  <c r="AH22" i="205" s="1"/>
  <c r="X23" i="205"/>
  <c r="Z86" i="205"/>
  <c r="X87" i="205"/>
  <c r="AB17" i="206"/>
  <c r="AC17" i="206"/>
  <c r="AH17" i="206" s="1"/>
  <c r="AC14" i="206"/>
  <c r="AB14" i="206"/>
  <c r="AB15" i="206"/>
  <c r="AC15" i="206"/>
  <c r="AH15" i="206" s="1"/>
  <c r="W165" i="206"/>
  <c r="X121" i="206"/>
  <c r="Z121" i="206" s="1"/>
  <c r="AC121" i="206" s="1"/>
  <c r="AH121" i="206" s="1"/>
  <c r="X113" i="206"/>
  <c r="Z113" i="206" s="1"/>
  <c r="AC113" i="206" s="1"/>
  <c r="AH113" i="206" s="1"/>
  <c r="X119" i="206"/>
  <c r="Z119" i="206" s="1"/>
  <c r="AC119" i="206" s="1"/>
  <c r="AH119" i="206" s="1"/>
  <c r="U165" i="206"/>
  <c r="V19" i="203"/>
  <c r="X19" i="203" s="1"/>
  <c r="Z19" i="203" s="1"/>
  <c r="AC19" i="203" s="1"/>
  <c r="AH19" i="203" s="1"/>
  <c r="AI19" i="203" s="1"/>
  <c r="V145" i="206"/>
  <c r="X145" i="206" s="1"/>
  <c r="C30" i="68"/>
  <c r="C41" i="68" s="1"/>
  <c r="AC30" i="205"/>
  <c r="AH30" i="205" s="1"/>
  <c r="AI30" i="205" s="1"/>
  <c r="AC42" i="205"/>
  <c r="S150" i="206"/>
  <c r="T95" i="206"/>
  <c r="T109" i="206" s="1"/>
  <c r="T80" i="206"/>
  <c r="T64" i="206"/>
  <c r="T68" i="206" s="1"/>
  <c r="T66" i="205"/>
  <c r="S71" i="205"/>
  <c r="W94" i="205"/>
  <c r="W111" i="205" s="1"/>
  <c r="T27" i="206"/>
  <c r="T30" i="206" s="1"/>
  <c r="S165" i="206"/>
  <c r="U94" i="205"/>
  <c r="Z22" i="208"/>
  <c r="AC22" i="208" s="1"/>
  <c r="AH22" i="208" s="1"/>
  <c r="AI22" i="208" s="1"/>
  <c r="Z29" i="206"/>
  <c r="AB29" i="206" s="1"/>
  <c r="Z74" i="206"/>
  <c r="AC74" i="206" s="1"/>
  <c r="AH74" i="206" s="1"/>
  <c r="Z114" i="206"/>
  <c r="AB114" i="206" s="1"/>
  <c r="Z123" i="206"/>
  <c r="AB123" i="206" s="1"/>
  <c r="Z149" i="206"/>
  <c r="AC149" i="206" s="1"/>
  <c r="AH149" i="206" s="1"/>
  <c r="Z146" i="206"/>
  <c r="AB146" i="206" s="1"/>
  <c r="Z18" i="208"/>
  <c r="AB18" i="208" s="1"/>
  <c r="Z19" i="208"/>
  <c r="AB19" i="208" s="1"/>
  <c r="Z143" i="206"/>
  <c r="AB143" i="206" s="1"/>
  <c r="Z16" i="208"/>
  <c r="AB16" i="208" s="1"/>
  <c r="Z22" i="210"/>
  <c r="AC22" i="210" s="1"/>
  <c r="AH22" i="210" s="1"/>
  <c r="Z79" i="206"/>
  <c r="AB79" i="206" s="1"/>
  <c r="Z75" i="206"/>
  <c r="AB75" i="206" s="1"/>
  <c r="Z148" i="206"/>
  <c r="AB148" i="206" s="1"/>
  <c r="Z147" i="206"/>
  <c r="AC147" i="206" s="1"/>
  <c r="AH147" i="206" s="1"/>
  <c r="Z102" i="206"/>
  <c r="AB102" i="206" s="1"/>
  <c r="Z13" i="208"/>
  <c r="AB13" i="208" s="1"/>
  <c r="Z65" i="206"/>
  <c r="AB65" i="206" s="1"/>
  <c r="Z78" i="206"/>
  <c r="AB78" i="206" s="1"/>
  <c r="Z17" i="208"/>
  <c r="AB17" i="208" s="1"/>
  <c r="Z21" i="208"/>
  <c r="AC21" i="208" s="1"/>
  <c r="AH21" i="208" s="1"/>
  <c r="Z18" i="210"/>
  <c r="AC18" i="210" s="1"/>
  <c r="AH18" i="210" s="1"/>
  <c r="AC98" i="205"/>
  <c r="AH98" i="205" s="1"/>
  <c r="AI98" i="205" s="1"/>
  <c r="T156" i="206"/>
  <c r="V17" i="203"/>
  <c r="X17" i="203" s="1"/>
  <c r="Z17" i="203" s="1"/>
  <c r="AC17" i="203" s="1"/>
  <c r="AH17" i="203" s="1"/>
  <c r="AI17" i="203" s="1"/>
  <c r="T74" i="205"/>
  <c r="U90" i="205"/>
  <c r="V59" i="205"/>
  <c r="V35" i="205"/>
  <c r="V37" i="205" s="1"/>
  <c r="AC67" i="205"/>
  <c r="AH67" i="205" s="1"/>
  <c r="AI67" i="205" s="1"/>
  <c r="AC77" i="205"/>
  <c r="AH77" i="205" s="1"/>
  <c r="AI77" i="205" s="1"/>
  <c r="V78" i="205"/>
  <c r="T87" i="205"/>
  <c r="V99" i="205"/>
  <c r="T139" i="206"/>
  <c r="T140" i="206" s="1"/>
  <c r="T32" i="206"/>
  <c r="T37" i="206" s="1"/>
  <c r="T13" i="206"/>
  <c r="T22" i="206" s="1"/>
  <c r="V16" i="203"/>
  <c r="Z120" i="206"/>
  <c r="T80" i="205"/>
  <c r="T83" i="205" s="1"/>
  <c r="T111" i="206"/>
  <c r="T127" i="206" s="1"/>
  <c r="T82" i="206"/>
  <c r="AB17" i="210"/>
  <c r="AC17" i="210"/>
  <c r="AH17" i="210" s="1"/>
  <c r="AB21" i="210"/>
  <c r="AC21" i="210"/>
  <c r="AH21" i="210" s="1"/>
  <c r="V74" i="205"/>
  <c r="V29" i="205"/>
  <c r="AB20" i="208"/>
  <c r="AC20" i="208"/>
  <c r="AH20" i="208" s="1"/>
  <c r="AB144" i="206"/>
  <c r="AC144" i="206"/>
  <c r="AH144" i="206" s="1"/>
  <c r="V142" i="206"/>
  <c r="V150" i="206" s="1"/>
  <c r="V134" i="206"/>
  <c r="V61" i="205"/>
  <c r="X61" i="205" s="1"/>
  <c r="T63" i="205"/>
  <c r="T90" i="205"/>
  <c r="V89" i="205"/>
  <c r="X89" i="205" s="1"/>
  <c r="AC51" i="205"/>
  <c r="AH51" i="205" s="1"/>
  <c r="AI51" i="205" s="1"/>
  <c r="V47" i="205"/>
  <c r="AC42" i="206"/>
  <c r="AH42" i="206" s="1"/>
  <c r="AI42" i="206" s="1"/>
  <c r="V101" i="205"/>
  <c r="X101" i="205" s="1"/>
  <c r="T102" i="205"/>
  <c r="AB20" i="210"/>
  <c r="AC20" i="210"/>
  <c r="AH20" i="210" s="1"/>
  <c r="AC19" i="210"/>
  <c r="AH19" i="210" s="1"/>
  <c r="AB19" i="210"/>
  <c r="T40" i="206"/>
  <c r="T46" i="206" s="1"/>
  <c r="T50" i="205"/>
  <c r="T52" i="205" s="1"/>
  <c r="T94" i="205"/>
  <c r="AB77" i="206"/>
  <c r="AC77" i="206"/>
  <c r="AH77" i="206" s="1"/>
  <c r="AB15" i="208"/>
  <c r="AC15" i="208"/>
  <c r="AH15" i="208" s="1"/>
  <c r="AB129" i="206"/>
  <c r="AC129" i="206"/>
  <c r="V23" i="205"/>
  <c r="AB11" i="207"/>
  <c r="U111" i="205" l="1"/>
  <c r="AB22" i="210"/>
  <c r="AI22" i="210" s="1"/>
  <c r="Z16" i="210"/>
  <c r="X27" i="210"/>
  <c r="AI20" i="208"/>
  <c r="X12" i="208"/>
  <c r="Z12" i="208"/>
  <c r="V55" i="205"/>
  <c r="V56" i="205" s="1"/>
  <c r="S111" i="205"/>
  <c r="X47" i="205"/>
  <c r="X48" i="205" s="1"/>
  <c r="V48" i="205"/>
  <c r="X29" i="205"/>
  <c r="X33" i="205" s="1"/>
  <c r="V33" i="205"/>
  <c r="V16" i="205"/>
  <c r="T20" i="205"/>
  <c r="V40" i="205"/>
  <c r="T44" i="205"/>
  <c r="X94" i="205"/>
  <c r="Z92" i="205"/>
  <c r="AB92" i="205" s="1"/>
  <c r="AB94" i="205" s="1"/>
  <c r="X16" i="203"/>
  <c r="V24" i="203"/>
  <c r="AI81" i="205"/>
  <c r="AB36" i="207"/>
  <c r="AI15" i="208"/>
  <c r="AH129" i="206"/>
  <c r="AH134" i="206" s="1"/>
  <c r="AC134" i="206"/>
  <c r="AB134" i="206"/>
  <c r="AI77" i="206"/>
  <c r="AI15" i="206"/>
  <c r="AI17" i="206"/>
  <c r="AH14" i="206"/>
  <c r="AH42" i="205"/>
  <c r="X17" i="205"/>
  <c r="AI21" i="210"/>
  <c r="AI20" i="210"/>
  <c r="AI19" i="210"/>
  <c r="AI17" i="210"/>
  <c r="Z101" i="205"/>
  <c r="X102" i="205"/>
  <c r="Z47" i="205"/>
  <c r="Z48" i="205" s="1"/>
  <c r="Z61" i="205"/>
  <c r="X63" i="205"/>
  <c r="Z89" i="205"/>
  <c r="X90" i="205"/>
  <c r="X35" i="205"/>
  <c r="X37" i="205" s="1"/>
  <c r="AB86" i="205"/>
  <c r="AB87" i="205" s="1"/>
  <c r="Z87" i="205"/>
  <c r="AB22" i="205"/>
  <c r="AB23" i="205" s="1"/>
  <c r="Z23" i="205"/>
  <c r="Z78" i="205"/>
  <c r="AB76" i="205"/>
  <c r="AB78" i="205" s="1"/>
  <c r="AB58" i="205"/>
  <c r="AB59" i="205" s="1"/>
  <c r="Z59" i="205"/>
  <c r="Z99" i="205"/>
  <c r="AB97" i="205"/>
  <c r="AB99" i="205" s="1"/>
  <c r="Z74" i="205"/>
  <c r="AB73" i="205"/>
  <c r="AB74" i="205" s="1"/>
  <c r="T36" i="207"/>
  <c r="V36" i="207"/>
  <c r="AB121" i="206"/>
  <c r="AI121" i="206" s="1"/>
  <c r="AB113" i="206"/>
  <c r="AI113" i="206" s="1"/>
  <c r="AB119" i="206"/>
  <c r="AI119" i="206" s="1"/>
  <c r="V32" i="206"/>
  <c r="V37" i="206" s="1"/>
  <c r="AC17" i="208"/>
  <c r="AH17" i="208" s="1"/>
  <c r="AI17" i="208" s="1"/>
  <c r="Z145" i="206"/>
  <c r="AC32" i="205"/>
  <c r="AC41" i="205"/>
  <c r="AH41" i="205" s="1"/>
  <c r="AI41" i="205" s="1"/>
  <c r="AC19" i="208"/>
  <c r="AH19" i="208" s="1"/>
  <c r="AI19" i="208" s="1"/>
  <c r="AC65" i="206"/>
  <c r="AH65" i="206" s="1"/>
  <c r="AI65" i="206" s="1"/>
  <c r="V27" i="206"/>
  <c r="V30" i="206" s="1"/>
  <c r="V95" i="206"/>
  <c r="V109" i="206" s="1"/>
  <c r="V80" i="206"/>
  <c r="V64" i="206"/>
  <c r="V68" i="206" s="1"/>
  <c r="AC18" i="208"/>
  <c r="AH18" i="208" s="1"/>
  <c r="AI18" i="208" s="1"/>
  <c r="AC29" i="206"/>
  <c r="AH29" i="206" s="1"/>
  <c r="AI29" i="206" s="1"/>
  <c r="AC114" i="206"/>
  <c r="AB147" i="206"/>
  <c r="AI147" i="206" s="1"/>
  <c r="AC148" i="206"/>
  <c r="AH148" i="206" s="1"/>
  <c r="AI148" i="206" s="1"/>
  <c r="T71" i="205"/>
  <c r="V66" i="205"/>
  <c r="X66" i="205" s="1"/>
  <c r="AC78" i="206"/>
  <c r="AH78" i="206" s="1"/>
  <c r="AI78" i="206" s="1"/>
  <c r="AC123" i="206"/>
  <c r="AH123" i="206" s="1"/>
  <c r="AI123" i="206" s="1"/>
  <c r="AB149" i="206"/>
  <c r="AI149" i="206" s="1"/>
  <c r="AC16" i="208"/>
  <c r="AH16" i="208" s="1"/>
  <c r="AI16" i="208" s="1"/>
  <c r="AC146" i="206"/>
  <c r="AH146" i="206" s="1"/>
  <c r="AI146" i="206" s="1"/>
  <c r="AC69" i="205"/>
  <c r="AH69" i="205" s="1"/>
  <c r="AI69" i="205" s="1"/>
  <c r="AC143" i="206"/>
  <c r="AH143" i="206" s="1"/>
  <c r="AI143" i="206" s="1"/>
  <c r="V82" i="206"/>
  <c r="V84" i="206" s="1"/>
  <c r="T84" i="206"/>
  <c r="T165" i="206" s="1"/>
  <c r="AC75" i="206"/>
  <c r="AH75" i="206" s="1"/>
  <c r="AI75" i="206" s="1"/>
  <c r="AC68" i="205"/>
  <c r="AH68" i="205" s="1"/>
  <c r="AI68" i="205" s="1"/>
  <c r="AB18" i="210"/>
  <c r="AI18" i="210" s="1"/>
  <c r="AC102" i="206"/>
  <c r="AH102" i="206" s="1"/>
  <c r="AI102" i="206" s="1"/>
  <c r="AB74" i="206"/>
  <c r="AI74" i="206" s="1"/>
  <c r="AC79" i="206"/>
  <c r="AH79" i="206" s="1"/>
  <c r="AI79" i="206" s="1"/>
  <c r="AB21" i="208"/>
  <c r="AI21" i="208" s="1"/>
  <c r="AC13" i="208"/>
  <c r="AH13" i="208" s="1"/>
  <c r="AI13" i="208" s="1"/>
  <c r="V156" i="206"/>
  <c r="V139" i="206"/>
  <c r="V140" i="206" s="1"/>
  <c r="AC86" i="205"/>
  <c r="V87" i="205"/>
  <c r="V13" i="206"/>
  <c r="V22" i="206" s="1"/>
  <c r="V111" i="206"/>
  <c r="V127" i="206" s="1"/>
  <c r="V80" i="205"/>
  <c r="X80" i="205" s="1"/>
  <c r="AI144" i="206"/>
  <c r="V94" i="205"/>
  <c r="V40" i="206"/>
  <c r="V46" i="206" s="1"/>
  <c r="V102" i="205"/>
  <c r="V63" i="205"/>
  <c r="V50" i="205"/>
  <c r="V90" i="205"/>
  <c r="X134" i="206"/>
  <c r="X142" i="206"/>
  <c r="X150" i="206" s="1"/>
  <c r="Z29" i="205" l="1"/>
  <c r="Z33" i="205" s="1"/>
  <c r="Z27" i="210"/>
  <c r="AC16" i="210"/>
  <c r="AB16" i="210"/>
  <c r="AI129" i="206"/>
  <c r="AI134" i="206" s="1"/>
  <c r="V165" i="206"/>
  <c r="X55" i="205"/>
  <c r="X56" i="205" s="1"/>
  <c r="Z94" i="205"/>
  <c r="T111" i="205"/>
  <c r="X50" i="205"/>
  <c r="X52" i="205" s="1"/>
  <c r="V52" i="205"/>
  <c r="X40" i="205"/>
  <c r="V44" i="205"/>
  <c r="X16" i="205"/>
  <c r="V20" i="205"/>
  <c r="Z16" i="203"/>
  <c r="X24" i="203"/>
  <c r="AH80" i="206"/>
  <c r="AC80" i="206"/>
  <c r="AB80" i="206"/>
  <c r="AL134" i="206"/>
  <c r="AH114" i="206"/>
  <c r="AI14" i="206"/>
  <c r="AI80" i="206"/>
  <c r="AI42" i="205"/>
  <c r="Z17" i="205"/>
  <c r="AH32" i="205"/>
  <c r="Z35" i="205"/>
  <c r="Z37" i="205" s="1"/>
  <c r="Z80" i="205"/>
  <c r="X83" i="205"/>
  <c r="Z66" i="205"/>
  <c r="X71" i="205"/>
  <c r="AI22" i="205"/>
  <c r="AI23" i="205" s="1"/>
  <c r="AB29" i="205"/>
  <c r="AB33" i="205" s="1"/>
  <c r="Z90" i="205"/>
  <c r="AB89" i="205"/>
  <c r="AB90" i="205" s="1"/>
  <c r="AB61" i="205"/>
  <c r="AB63" i="205" s="1"/>
  <c r="Z63" i="205"/>
  <c r="AB47" i="205"/>
  <c r="AB48" i="205" s="1"/>
  <c r="Z102" i="205"/>
  <c r="AB101" i="205"/>
  <c r="AB102" i="205" s="1"/>
  <c r="X32" i="206"/>
  <c r="AC145" i="206"/>
  <c r="AB145" i="206"/>
  <c r="X95" i="206"/>
  <c r="X109" i="206" s="1"/>
  <c r="X80" i="206"/>
  <c r="X27" i="206"/>
  <c r="Z27" i="206" s="1"/>
  <c r="Z30" i="206" s="1"/>
  <c r="X64" i="206"/>
  <c r="X68" i="206" s="1"/>
  <c r="AI50" i="207"/>
  <c r="V71" i="205"/>
  <c r="X82" i="206"/>
  <c r="Z82" i="206" s="1"/>
  <c r="Z142" i="206"/>
  <c r="Z150" i="206" s="1"/>
  <c r="Z134" i="206"/>
  <c r="X139" i="206"/>
  <c r="X140" i="206" s="1"/>
  <c r="V83" i="205"/>
  <c r="X111" i="206"/>
  <c r="X127" i="206" s="1"/>
  <c r="X13" i="206"/>
  <c r="X22" i="206" s="1"/>
  <c r="AH86" i="205"/>
  <c r="AI86" i="205" s="1"/>
  <c r="AI87" i="205" s="1"/>
  <c r="AC97" i="205"/>
  <c r="AC99" i="205" s="1"/>
  <c r="AC58" i="205"/>
  <c r="AC76" i="205"/>
  <c r="AB120" i="206"/>
  <c r="AC120" i="206"/>
  <c r="X36" i="207"/>
  <c r="AC92" i="205"/>
  <c r="X40" i="206"/>
  <c r="X46" i="206" s="1"/>
  <c r="AB12" i="208"/>
  <c r="AC12" i="208"/>
  <c r="AC73" i="205"/>
  <c r="AH16" i="210" l="1"/>
  <c r="AH27" i="210" s="1"/>
  <c r="AC27" i="210"/>
  <c r="AB27" i="210"/>
  <c r="AI16" i="210"/>
  <c r="AI27" i="210" s="1"/>
  <c r="Z32" i="206"/>
  <c r="Z37" i="206" s="1"/>
  <c r="X37" i="206"/>
  <c r="Z55" i="205"/>
  <c r="Z56" i="205" s="1"/>
  <c r="AC35" i="205"/>
  <c r="AC37" i="205" s="1"/>
  <c r="Z16" i="205"/>
  <c r="X20" i="205"/>
  <c r="X44" i="205"/>
  <c r="Z40" i="205"/>
  <c r="Z50" i="205"/>
  <c r="Z52" i="205" s="1"/>
  <c r="V111" i="205"/>
  <c r="X30" i="206"/>
  <c r="AL80" i="206"/>
  <c r="AC16" i="203"/>
  <c r="AC24" i="203" s="1"/>
  <c r="Z24" i="203"/>
  <c r="AI114" i="206"/>
  <c r="AC17" i="205"/>
  <c r="AB17" i="205"/>
  <c r="AI32" i="205"/>
  <c r="AB66" i="205"/>
  <c r="AB71" i="205" s="1"/>
  <c r="Z71" i="205"/>
  <c r="Z83" i="205"/>
  <c r="AB80" i="205"/>
  <c r="AB83" i="205" s="1"/>
  <c r="AB35" i="205"/>
  <c r="AB37" i="205" s="1"/>
  <c r="AB50" i="205"/>
  <c r="AB52" i="205" s="1"/>
  <c r="Z84" i="206"/>
  <c r="AB82" i="206"/>
  <c r="Z40" i="206"/>
  <c r="Z46" i="206" s="1"/>
  <c r="AH145" i="206"/>
  <c r="Z80" i="206"/>
  <c r="Z95" i="206"/>
  <c r="AB27" i="206"/>
  <c r="Z64" i="206"/>
  <c r="Z68" i="206" s="1"/>
  <c r="AC27" i="206"/>
  <c r="AC30" i="206" s="1"/>
  <c r="X84" i="206"/>
  <c r="Z139" i="206"/>
  <c r="Z140" i="206" s="1"/>
  <c r="Z13" i="206"/>
  <c r="Z11" i="207"/>
  <c r="Z111" i="206"/>
  <c r="Z127" i="206" s="1"/>
  <c r="X156" i="206"/>
  <c r="Z156" i="206"/>
  <c r="AH58" i="205"/>
  <c r="AC59" i="205"/>
  <c r="AH97" i="205"/>
  <c r="AH99" i="205" s="1"/>
  <c r="AL99" i="205" s="1"/>
  <c r="AH76" i="205"/>
  <c r="AH78" i="205" s="1"/>
  <c r="AL78" i="205" s="1"/>
  <c r="AC78" i="205"/>
  <c r="AH120" i="206"/>
  <c r="AI120" i="206" s="1"/>
  <c r="AC29" i="205"/>
  <c r="AC33" i="205" s="1"/>
  <c r="AC82" i="206"/>
  <c r="AC84" i="206" s="1"/>
  <c r="AH73" i="205"/>
  <c r="AC74" i="205"/>
  <c r="AC101" i="205"/>
  <c r="AH92" i="205"/>
  <c r="AI92" i="205" s="1"/>
  <c r="AI94" i="205" s="1"/>
  <c r="AH23" i="205"/>
  <c r="AL23" i="205" s="1"/>
  <c r="AC23" i="205"/>
  <c r="AC89" i="205"/>
  <c r="AB142" i="206"/>
  <c r="AB150" i="206" s="1"/>
  <c r="AC142" i="206"/>
  <c r="AC150" i="206" s="1"/>
  <c r="AC80" i="205"/>
  <c r="AC83" i="205" s="1"/>
  <c r="AC47" i="205"/>
  <c r="AC48" i="205" s="1"/>
  <c r="AH12" i="208"/>
  <c r="AC61" i="205"/>
  <c r="AC63" i="205" s="1"/>
  <c r="AC95" i="206" l="1"/>
  <c r="AC109" i="206" s="1"/>
  <c r="Z109" i="206"/>
  <c r="Z36" i="207"/>
  <c r="AC11" i="207"/>
  <c r="AH11" i="207" s="1"/>
  <c r="AI11" i="207" s="1"/>
  <c r="X165" i="206"/>
  <c r="AH35" i="205"/>
  <c r="AH37" i="205" s="1"/>
  <c r="AL37" i="205" s="1"/>
  <c r="AC55" i="205"/>
  <c r="AC56" i="205" s="1"/>
  <c r="AC32" i="206"/>
  <c r="AC37" i="206" s="1"/>
  <c r="AB32" i="206"/>
  <c r="AB37" i="206" s="1"/>
  <c r="AB55" i="205"/>
  <c r="AB56" i="205" s="1"/>
  <c r="X111" i="205"/>
  <c r="Z44" i="205"/>
  <c r="AB40" i="205"/>
  <c r="AC40" i="205"/>
  <c r="Z20" i="205"/>
  <c r="AB16" i="205"/>
  <c r="AC16" i="205"/>
  <c r="AH16" i="203"/>
  <c r="AH24" i="203" s="1"/>
  <c r="AI12" i="208"/>
  <c r="AB84" i="206"/>
  <c r="AB30" i="206"/>
  <c r="AH17" i="205"/>
  <c r="AK27" i="210"/>
  <c r="AI76" i="205"/>
  <c r="AI78" i="205" s="1"/>
  <c r="AI97" i="205"/>
  <c r="AI99" i="205" s="1"/>
  <c r="AH59" i="205"/>
  <c r="AL59" i="205" s="1"/>
  <c r="AI58" i="205"/>
  <c r="AI59" i="205" s="1"/>
  <c r="AH74" i="205"/>
  <c r="AL74" i="205" s="1"/>
  <c r="AI73" i="205"/>
  <c r="AC139" i="206"/>
  <c r="AC140" i="206" s="1"/>
  <c r="AB139" i="206"/>
  <c r="AB140" i="206" s="1"/>
  <c r="AB40" i="206"/>
  <c r="AB46" i="206" s="1"/>
  <c r="AI145" i="206"/>
  <c r="AB95" i="206"/>
  <c r="AB109" i="206" s="1"/>
  <c r="AC64" i="206"/>
  <c r="AC68" i="206" s="1"/>
  <c r="AH27" i="206"/>
  <c r="AH30" i="206" s="1"/>
  <c r="AB64" i="206"/>
  <c r="Z22" i="206"/>
  <c r="AB13" i="206"/>
  <c r="AC66" i="205"/>
  <c r="AC71" i="205" s="1"/>
  <c r="AH95" i="206"/>
  <c r="AH109" i="206" s="1"/>
  <c r="AB156" i="206"/>
  <c r="AC156" i="206"/>
  <c r="AC13" i="206"/>
  <c r="AC22" i="206" s="1"/>
  <c r="AC111" i="206"/>
  <c r="AC127" i="206" s="1"/>
  <c r="AB111" i="206"/>
  <c r="AH87" i="205"/>
  <c r="AL87" i="205" s="1"/>
  <c r="AC87" i="205"/>
  <c r="AH47" i="205"/>
  <c r="AH89" i="205"/>
  <c r="AC90" i="205"/>
  <c r="AC102" i="205"/>
  <c r="AH101" i="205"/>
  <c r="AH82" i="206"/>
  <c r="AH84" i="206" s="1"/>
  <c r="AH29" i="205"/>
  <c r="AH61" i="205"/>
  <c r="AH63" i="205" s="1"/>
  <c r="AL63" i="205" s="1"/>
  <c r="AC40" i="206"/>
  <c r="AC46" i="206" s="1"/>
  <c r="AC94" i="205"/>
  <c r="AH80" i="205"/>
  <c r="AH83" i="205" s="1"/>
  <c r="AH142" i="206"/>
  <c r="AH150" i="206" s="1"/>
  <c r="AH32" i="206"/>
  <c r="AH37" i="206" s="1"/>
  <c r="AC50" i="205"/>
  <c r="AC52" i="205" s="1"/>
  <c r="AC36" i="207" l="1"/>
  <c r="AI35" i="205"/>
  <c r="AI37" i="205" s="1"/>
  <c r="AH55" i="205"/>
  <c r="AH56" i="205" s="1"/>
  <c r="AL56" i="205" s="1"/>
  <c r="Z165" i="206"/>
  <c r="AC165" i="206"/>
  <c r="Z111" i="205"/>
  <c r="AH16" i="205"/>
  <c r="AH20" i="205" s="1"/>
  <c r="AC20" i="205"/>
  <c r="AB44" i="205"/>
  <c r="AH33" i="205"/>
  <c r="AL33" i="205" s="1"/>
  <c r="AH48" i="205"/>
  <c r="AL48" i="205" s="1"/>
  <c r="AB20" i="205"/>
  <c r="AH40" i="205"/>
  <c r="AH44" i="205" s="1"/>
  <c r="AC44" i="205"/>
  <c r="AI16" i="203"/>
  <c r="AI24" i="203" s="1"/>
  <c r="AL83" i="205"/>
  <c r="AB22" i="206"/>
  <c r="AB127" i="206"/>
  <c r="AI95" i="206"/>
  <c r="AI109" i="206" s="1"/>
  <c r="AL109" i="206"/>
  <c r="AL84" i="206"/>
  <c r="AI82" i="206"/>
  <c r="AI84" i="206" s="1"/>
  <c r="AB68" i="206"/>
  <c r="AL61" i="206"/>
  <c r="AL37" i="206"/>
  <c r="AI32" i="206"/>
  <c r="AI37" i="206" s="1"/>
  <c r="AL30" i="206"/>
  <c r="AI27" i="206"/>
  <c r="AI30" i="206" s="1"/>
  <c r="AI17" i="205"/>
  <c r="AI29" i="205"/>
  <c r="AI33" i="205" s="1"/>
  <c r="AH90" i="205"/>
  <c r="AL90" i="205" s="1"/>
  <c r="AI89" i="205"/>
  <c r="AI90" i="205" s="1"/>
  <c r="AI80" i="205"/>
  <c r="AI83" i="205" s="1"/>
  <c r="AI61" i="205"/>
  <c r="AI63" i="205" s="1"/>
  <c r="AH102" i="205"/>
  <c r="AL102" i="205" s="1"/>
  <c r="AI101" i="205"/>
  <c r="AI102" i="205" s="1"/>
  <c r="AI47" i="205"/>
  <c r="AI48" i="205" s="1"/>
  <c r="AH64" i="206"/>
  <c r="AH68" i="206" s="1"/>
  <c r="AH66" i="205"/>
  <c r="AH71" i="205" s="1"/>
  <c r="AL71" i="205" s="1"/>
  <c r="AH139" i="206"/>
  <c r="AH140" i="206" s="1"/>
  <c r="AH156" i="206"/>
  <c r="AL156" i="206" s="1"/>
  <c r="AH111" i="206"/>
  <c r="AH127" i="206" s="1"/>
  <c r="AH13" i="206"/>
  <c r="AH22" i="206" s="1"/>
  <c r="AI74" i="205"/>
  <c r="AH50" i="205"/>
  <c r="AH94" i="205"/>
  <c r="AL94" i="205" s="1"/>
  <c r="AH40" i="206"/>
  <c r="AH46" i="206" s="1"/>
  <c r="AI142" i="206"/>
  <c r="AI150" i="206" s="1"/>
  <c r="AI55" i="205" l="1"/>
  <c r="AI56" i="205" s="1"/>
  <c r="AH165" i="206"/>
  <c r="AB165" i="206"/>
  <c r="AL127" i="206"/>
  <c r="AB111" i="205"/>
  <c r="AH52" i="205"/>
  <c r="AL52" i="205" s="1"/>
  <c r="AL20" i="205"/>
  <c r="AI16" i="205"/>
  <c r="AI20" i="205" s="1"/>
  <c r="AI40" i="205"/>
  <c r="AI44" i="205" s="1"/>
  <c r="AC111" i="205"/>
  <c r="AL44" i="205"/>
  <c r="AL22" i="206"/>
  <c r="AI64" i="206"/>
  <c r="AI68" i="206" s="1"/>
  <c r="AI111" i="206"/>
  <c r="AI127" i="206" s="1"/>
  <c r="AH36" i="207"/>
  <c r="AL36" i="207" s="1"/>
  <c r="AL140" i="206"/>
  <c r="AI13" i="206"/>
  <c r="AI22" i="206" s="1"/>
  <c r="AL46" i="206"/>
  <c r="AI139" i="206"/>
  <c r="AI140" i="206" s="1"/>
  <c r="AL68" i="206"/>
  <c r="AI40" i="206"/>
  <c r="AI46" i="206" s="1"/>
  <c r="AI50" i="205"/>
  <c r="AI52" i="205" s="1"/>
  <c r="AI66" i="205"/>
  <c r="AI71" i="205" s="1"/>
  <c r="AL24" i="203"/>
  <c r="AH111" i="205" l="1"/>
  <c r="AL111" i="205" s="1"/>
  <c r="AI111" i="205"/>
  <c r="AI36" i="207"/>
  <c r="AL165" i="206"/>
  <c r="AI156" i="206"/>
  <c r="AI165" i="206" s="1"/>
  <c r="D43" i="210" l="1"/>
  <c r="AI51" i="207"/>
  <c r="AI52" i="207" s="1"/>
  <c r="E43" i="210" l="1"/>
  <c r="AJ53" i="210"/>
  <c r="AI48" i="207"/>
  <c r="H30" i="208"/>
  <c r="O25" i="208"/>
  <c r="O30" i="208" s="1"/>
  <c r="R25" i="208"/>
  <c r="U25" i="208" s="1"/>
  <c r="U30" i="208" s="1"/>
  <c r="Y25" i="208" l="1"/>
  <c r="Y30" i="208" s="1"/>
  <c r="S25" i="208"/>
  <c r="S30" i="208" s="1"/>
  <c r="R30" i="208"/>
  <c r="W25" i="208"/>
  <c r="W30" i="208" s="1"/>
  <c r="T25" i="208" l="1"/>
  <c r="V25" i="208" s="1"/>
  <c r="T30" i="208"/>
  <c r="V30" i="208" l="1"/>
  <c r="X25" i="208"/>
  <c r="X30" i="208" l="1"/>
  <c r="Z25" i="208"/>
  <c r="AB25" i="208" l="1"/>
  <c r="AC25" i="208"/>
  <c r="Z30" i="208"/>
  <c r="AH25" i="208" l="1"/>
  <c r="AH30" i="208" s="1"/>
  <c r="AC30" i="208"/>
  <c r="AB30" i="208"/>
  <c r="AL30" i="208" s="1"/>
  <c r="AI25" i="208"/>
  <c r="AI30" i="208" s="1"/>
  <c r="D45" i="210" s="1"/>
  <c r="D47" i="210" s="1"/>
</calcChain>
</file>

<file path=xl/sharedStrings.xml><?xml version="1.0" encoding="utf-8"?>
<sst xmlns="http://schemas.openxmlformats.org/spreadsheetml/2006/main" count="1090" uniqueCount="544">
  <si>
    <t>TOTAL</t>
  </si>
  <si>
    <t>%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</si>
  <si>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</si>
  <si>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</si>
  <si>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</si>
  <si>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</si>
  <si>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</si>
  <si>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</si>
  <si>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SUBSIDIO</t>
  </si>
  <si>
    <t>Sueldo</t>
  </si>
  <si>
    <t>Total</t>
  </si>
  <si>
    <t>CALCULO MENSUAL DE I.S.P.T.</t>
  </si>
  <si>
    <t>I   S   R</t>
  </si>
  <si>
    <t xml:space="preserve">    INGRESOS  ACUMULABLES  </t>
  </si>
  <si>
    <t>T   A   R   I   F   A</t>
  </si>
  <si>
    <t/>
  </si>
  <si>
    <t xml:space="preserve">    BASE  GRAVABLE</t>
  </si>
  <si>
    <t>L. I.</t>
  </si>
  <si>
    <t>C. F.</t>
  </si>
  <si>
    <t>DE....A</t>
  </si>
  <si>
    <t xml:space="preserve">    EXCEDENTE  DEL  LIMITE  INFERIOR</t>
  </si>
  <si>
    <t xml:space="preserve">    IMPUESTO  MARGINAL</t>
  </si>
  <si>
    <t xml:space="preserve">    I S R   A   CARGO </t>
  </si>
  <si>
    <t xml:space="preserve">                                                               I M P U E S T O      </t>
  </si>
  <si>
    <t>NOTA :  ESTE  CALCULO  ESTARA  VIGENTE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</si>
  <si>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</si>
  <si>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</si>
  <si>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</si>
  <si>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</si>
  <si>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</si>
  <si>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</si>
  <si>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</si>
  <si>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</si>
  <si>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</si>
  <si>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</si>
  <si>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</si>
  <si>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</si>
  <si>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</si>
  <si>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</si>
  <si>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</si>
  <si>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</si>
  <si>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</si>
  <si>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</si>
  <si>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</si>
  <si>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</si>
  <si>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</si>
  <si>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</si>
  <si>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</si>
  <si>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</si>
  <si>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</si>
  <si>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</si>
  <si>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</si>
  <si>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</si>
  <si>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</si>
  <si>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</si>
  <si>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</si>
  <si>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</si>
  <si>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</si>
  <si>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</si>
  <si>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</si>
  <si>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</si>
  <si>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</si>
  <si>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</si>
  <si>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</si>
  <si>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</si>
  <si>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</si>
  <si>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</si>
  <si>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</si>
  <si>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</si>
  <si>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</si>
  <si>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</si>
  <si>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</si>
  <si>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</si>
  <si>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</si>
  <si>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</si>
  <si>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</si>
  <si>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</si>
  <si>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 xml:space="preserve">                             D A T O S      Q U I N C E N A L E S :    </t>
  </si>
  <si>
    <t>Nombre del Trabajador</t>
  </si>
  <si>
    <t>AL EMPLEO</t>
  </si>
  <si>
    <t>I.S.R. BRUTO</t>
  </si>
  <si>
    <t xml:space="preserve">   SUBIDIO AL EMPLEO POR ENTREGAR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</si>
  <si>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</si>
  <si>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>SUBSIDO AL EMPLEO</t>
  </si>
  <si>
    <t>MENSUAL</t>
  </si>
  <si>
    <t>Subsidio al</t>
  </si>
  <si>
    <t>Empleo</t>
  </si>
  <si>
    <t>Subsidio</t>
  </si>
  <si>
    <t>SUBSIDIO AL</t>
  </si>
  <si>
    <t>EMPLEO</t>
  </si>
  <si>
    <t xml:space="preserve">                                                                 S U B S I D I O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</si>
  <si>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</si>
  <si>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TABLAS DE TARIFA Y SUBSIDIO AL EMPLEO PARA CALCULO DE I.S.P.T.</t>
  </si>
  <si>
    <t xml:space="preserve">                                     </t>
  </si>
  <si>
    <r>
      <t>o</t>
    </r>
    <r>
      <rPr>
        <sz val="10"/>
        <color indexed="10"/>
        <rFont val="Arial"/>
        <family val="2"/>
      </rPr>
      <t xml:space="preserve"> (A Favor)</t>
    </r>
  </si>
  <si>
    <t>EJERCICIO 2018</t>
  </si>
  <si>
    <t>TABLAS PUBLICADAS EL 29 DE DICIEMBRE DE 2017</t>
  </si>
  <si>
    <t>NOMBRE EMPRESA</t>
  </si>
  <si>
    <t>NOMBRE DE LA EMPRESA</t>
  </si>
  <si>
    <t>Prestamos</t>
  </si>
  <si>
    <t>F I R M A</t>
  </si>
  <si>
    <t>NOMBRAMIENTO</t>
  </si>
  <si>
    <t xml:space="preserve"> </t>
  </si>
  <si>
    <t xml:space="preserve">                   PRESIDENTE MUNICIPAL</t>
  </si>
  <si>
    <t xml:space="preserve">       ENC. DE LA HACIENDA PUBLICA</t>
  </si>
  <si>
    <t>PENSIONADOS</t>
  </si>
  <si>
    <t>PENSIONADO</t>
  </si>
  <si>
    <t xml:space="preserve">                   BASE</t>
  </si>
  <si>
    <t>PRESIDENCIA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</si>
  <si>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</si>
  <si>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</si>
  <si>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</si>
  <si>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</si>
  <si>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</si>
  <si>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</si>
  <si>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</si>
  <si>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</si>
  <si>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</si>
  <si>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</si>
  <si>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</si>
  <si>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</si>
  <si>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</si>
  <si>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</si>
  <si>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</si>
  <si>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</si>
  <si>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</si>
  <si>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</si>
  <si>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</si>
  <si>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</si>
  <si>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</si>
  <si>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</si>
  <si>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</si>
  <si>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</si>
  <si>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</si>
  <si>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</si>
  <si>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</si>
  <si>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</si>
  <si>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</si>
  <si>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 xml:space="preserve">         EVENTUALES</t>
  </si>
  <si>
    <t xml:space="preserve">Secretaria </t>
  </si>
  <si>
    <t>Cuenta Pública</t>
  </si>
  <si>
    <t>Encargado</t>
  </si>
  <si>
    <t>Chofer Camión Basura</t>
  </si>
  <si>
    <t>Mtto. Campo Futbol</t>
  </si>
  <si>
    <t>Aseo Río</t>
  </si>
  <si>
    <t>Velador</t>
  </si>
  <si>
    <t>PADRON Y LICENCIAS</t>
  </si>
  <si>
    <t>Fontanero</t>
  </si>
  <si>
    <t>Enc. Bomba</t>
  </si>
  <si>
    <t>Mtto. Parque</t>
  </si>
  <si>
    <t>Aseo</t>
  </si>
  <si>
    <t>Enc. Limp. Áreas verdes</t>
  </si>
  <si>
    <t>Matancero</t>
  </si>
  <si>
    <t xml:space="preserve">     SEGURIDAD PUBLICA</t>
  </si>
  <si>
    <t>Policía de Línea</t>
  </si>
  <si>
    <t xml:space="preserve">        PROTECCION CIVIL</t>
  </si>
  <si>
    <t>Barrendera</t>
  </si>
  <si>
    <t>Enc. Jardines</t>
  </si>
  <si>
    <t>Enc. De bomba</t>
  </si>
  <si>
    <t>Enc bomba Chora</t>
  </si>
  <si>
    <t>Sub- Director</t>
  </si>
  <si>
    <t>Médico Municipal</t>
  </si>
  <si>
    <t>Chofer Retro</t>
  </si>
  <si>
    <t>SISTEMAS</t>
  </si>
  <si>
    <t>J. Jesús Sánchez</t>
  </si>
  <si>
    <t>DEPORTES</t>
  </si>
  <si>
    <t>PROM. ECONOMICA Y PART. CIUDADANA</t>
  </si>
  <si>
    <t xml:space="preserve">         DIETAS</t>
  </si>
  <si>
    <t>Regidor</t>
  </si>
  <si>
    <t>Síndico</t>
  </si>
  <si>
    <t>Enc. De la hacienda</t>
  </si>
  <si>
    <t>CATASTRO</t>
  </si>
  <si>
    <t>TRANSPARENCIA</t>
  </si>
  <si>
    <t>DESARROLLO AGROPECUARIO</t>
  </si>
  <si>
    <t>Desarrollo Urbano</t>
  </si>
  <si>
    <t>Aux. Legal</t>
  </si>
  <si>
    <t>Aux. Agropecuario</t>
  </si>
  <si>
    <t>Limpieza</t>
  </si>
  <si>
    <t>Albañil</t>
  </si>
  <si>
    <t>Paramédico</t>
  </si>
  <si>
    <t>Peón</t>
  </si>
  <si>
    <t>Dir. Turismo</t>
  </si>
  <si>
    <t>COMUNICACIÓN SOCIAL</t>
  </si>
  <si>
    <t>Encargada</t>
  </si>
  <si>
    <t>Luis Santos Oliva</t>
  </si>
  <si>
    <t>MEDIO AMBIENTE</t>
  </si>
  <si>
    <t xml:space="preserve">Jefe de No Antec. Penales </t>
  </si>
  <si>
    <t>Publicadas en el D. O. F. el dia 11 de Enero de 2020.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</si>
  <si>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</si>
  <si>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 xml:space="preserve">               EJERCICIO 2021</t>
  </si>
  <si>
    <t>Mtto. Campo fut bol</t>
  </si>
  <si>
    <t>Titular Ce-Mujer</t>
  </si>
  <si>
    <t>Presidente Municipal</t>
  </si>
  <si>
    <t>CONTRALORIA</t>
  </si>
  <si>
    <t>Contralor</t>
  </si>
  <si>
    <t>EFECTIVO</t>
  </si>
  <si>
    <t>TARJETA</t>
  </si>
  <si>
    <t>efectivo seg pub y prot</t>
  </si>
  <si>
    <t>tarjeta seg pub y prot</t>
  </si>
  <si>
    <t>SUELDO DIARIO</t>
  </si>
  <si>
    <t xml:space="preserve">        C.D. Josè Ascenciòn Murguia Santiago</t>
  </si>
  <si>
    <t>Sueldo quincenal</t>
  </si>
  <si>
    <t>Subsidio al empleo</t>
  </si>
  <si>
    <t>Total deduc.</t>
  </si>
  <si>
    <t>TOTAL A PAGAR</t>
  </si>
  <si>
    <t>Efectivo</t>
  </si>
  <si>
    <t>Tarjeta</t>
  </si>
  <si>
    <t xml:space="preserve">           C. Leslye Belèn Nuño Arreola</t>
  </si>
  <si>
    <t xml:space="preserve">         ENC. DE LA HACIENDA PUBLICA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</si>
  <si>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</si>
  <si>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</si>
  <si>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</si>
  <si>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</si>
  <si>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</si>
  <si>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</si>
  <si>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</si>
  <si>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</si>
  <si>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</si>
  <si>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</si>
  <si>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</si>
  <si>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</si>
  <si>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</si>
  <si>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</si>
  <si>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</si>
  <si>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</si>
  <si>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</si>
  <si>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</si>
  <si>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Salvador Alejandro Barajas Torres</t>
  </si>
  <si>
    <t>Barrendero</t>
  </si>
  <si>
    <t>Velador Estación</t>
  </si>
  <si>
    <t>Dir. De archivo</t>
  </si>
  <si>
    <t>Enc. Del sistema de agua potable</t>
  </si>
  <si>
    <t>Aux. Ce-Mujer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</si>
  <si>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</si>
  <si>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</si>
  <si>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</si>
  <si>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</si>
  <si>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</si>
  <si>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</si>
  <si>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</si>
  <si>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Barrendera del rio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</si>
  <si>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</si>
  <si>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</si>
  <si>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</si>
  <si>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</si>
  <si>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</si>
  <si>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</si>
  <si>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</si>
  <si>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Comandante</t>
  </si>
  <si>
    <t xml:space="preserve">   PRESIDENTE MUNICIPAL</t>
  </si>
  <si>
    <t>Secretario General</t>
  </si>
  <si>
    <t>Aseo Centro de Salud Municipal</t>
  </si>
  <si>
    <t>Agente DARE</t>
  </si>
  <si>
    <t>Raúl Camberos Pizano</t>
  </si>
  <si>
    <t>APOYOS A INSTITUCIONES DE SALUD</t>
  </si>
  <si>
    <t>Hilda Fabiola Ramos Lara</t>
  </si>
  <si>
    <t>Aseo centro de salud la Estanzuela</t>
  </si>
  <si>
    <t>Aseo Centro de Salud Lucio Blanco</t>
  </si>
  <si>
    <t>María de Jesús Contreras Lomelí</t>
  </si>
  <si>
    <t>Juana Salazar Flores</t>
  </si>
  <si>
    <t xml:space="preserve">Paramédico </t>
  </si>
  <si>
    <t>Intendencia</t>
  </si>
  <si>
    <t>Asesor de trabajo social</t>
  </si>
  <si>
    <t xml:space="preserve">Intendente </t>
  </si>
  <si>
    <t>Orden de pago</t>
  </si>
  <si>
    <t>Marlene Elizabeth Tadeo Bañuelos</t>
  </si>
  <si>
    <t xml:space="preserve">            PRESIDENTE MUNICIPAL</t>
  </si>
  <si>
    <t>Sindicalizado</t>
  </si>
  <si>
    <t>TOTALES</t>
  </si>
  <si>
    <t>Salarios Totales</t>
  </si>
  <si>
    <t>Intendente del Centro de Salud</t>
  </si>
  <si>
    <t>Adriana Loera Salazar</t>
  </si>
  <si>
    <t>Intendente Jardín de niños</t>
  </si>
  <si>
    <t>Auxiliar de cultura</t>
  </si>
  <si>
    <t>Julio César Reyes García</t>
  </si>
  <si>
    <t xml:space="preserve">       C.D. José Ascensión Murguía Santiago</t>
  </si>
  <si>
    <t xml:space="preserve">           C.  Leslye Belén Nuño Arreola</t>
  </si>
  <si>
    <t>Días</t>
  </si>
  <si>
    <t>Crédito</t>
  </si>
  <si>
    <t>Núm..</t>
  </si>
  <si>
    <t>Percepción</t>
  </si>
  <si>
    <t>Héctor Emmanuel Corrales Benítez</t>
  </si>
  <si>
    <t xml:space="preserve">            C.D. José Ascensión Murguía Santiago</t>
  </si>
  <si>
    <t xml:space="preserve">           C. Leslye Belén Nuño Arreola</t>
  </si>
  <si>
    <t>Asesora</t>
  </si>
  <si>
    <t>Otros exentos</t>
  </si>
  <si>
    <t>total percepción</t>
  </si>
  <si>
    <t xml:space="preserve">  C.D. José Ascensión Murguía Santiago</t>
  </si>
  <si>
    <t xml:space="preserve">          C. Leslye Belén Nuño Arreola</t>
  </si>
  <si>
    <t xml:space="preserve">D E D U C  I O N E S </t>
  </si>
  <si>
    <t>Deduce.</t>
  </si>
  <si>
    <t xml:space="preserve">           C. D. José Ascensión Murguía Santiago</t>
  </si>
  <si>
    <t xml:space="preserve"> Afanadora Kínder Lucio Blanco</t>
  </si>
  <si>
    <t>Aux. Kínder Lucio Blanco</t>
  </si>
  <si>
    <t xml:space="preserve">     C.D. José Ascensión Murguía Santiago</t>
  </si>
  <si>
    <t xml:space="preserve">        C. Leslye Belén Nuño Arreola</t>
  </si>
  <si>
    <t>C.D. José Ascensión Murguía Santiago</t>
  </si>
  <si>
    <t xml:space="preserve"> PRESIDENTE MUNICIPAL</t>
  </si>
  <si>
    <t xml:space="preserve">Tonantzin Selene Moya Márquez 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</si>
  <si>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</si>
  <si>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</si>
  <si>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</si>
  <si>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</si>
  <si>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</si>
  <si>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</si>
  <si>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</si>
  <si>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</si>
  <si>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</si>
  <si>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Total Deducciones</t>
  </si>
  <si>
    <t>Total Dedu.</t>
  </si>
  <si>
    <t>Total a pagar</t>
  </si>
  <si>
    <t xml:space="preserve">Dias trab. </t>
  </si>
  <si>
    <t xml:space="preserve">Días trab. </t>
  </si>
  <si>
    <t xml:space="preserve"> Sueldo diario</t>
  </si>
  <si>
    <t>Aux. Kinder Tehozitan</t>
  </si>
  <si>
    <t>Salarios FORTA</t>
  </si>
  <si>
    <t xml:space="preserve"> Total percepción</t>
  </si>
  <si>
    <t>Total deducciones</t>
  </si>
  <si>
    <t>Pago en efectivo</t>
  </si>
  <si>
    <t>Mtto. del campo de futbol La estanzuela</t>
  </si>
  <si>
    <t>C. Leslye Belén Nuño Arreola</t>
  </si>
  <si>
    <t>Roberto Morán Rodríguez</t>
  </si>
  <si>
    <t>Operador de maquinaria</t>
  </si>
  <si>
    <t>Mécanico</t>
  </si>
  <si>
    <t xml:space="preserve">        PRESIDENTE MUNICIPAL</t>
  </si>
  <si>
    <t>PRESIDENTE MUNICIPAL</t>
  </si>
  <si>
    <t>*Omar Ascensión Arreola Ojeda</t>
  </si>
  <si>
    <t>*María del Socorro Almaraz Reyes</t>
  </si>
  <si>
    <t>*Luzvi Mireya Avalos Espinoza</t>
  </si>
  <si>
    <t>*Francisco Almaraz Magallon</t>
  </si>
  <si>
    <t>*Adriana Aguilera Amaral</t>
  </si>
  <si>
    <t>*Elena Anguiano Rubio</t>
  </si>
  <si>
    <t>*Pedro Aranda</t>
  </si>
  <si>
    <t>*Andrés Alcalá López</t>
  </si>
  <si>
    <t>*Francisco Ávila Ramirez</t>
  </si>
  <si>
    <t>AEGR801218MJCSRS03</t>
  </si>
  <si>
    <t>*Raúl Ávila Zermeño</t>
  </si>
  <si>
    <t>*María del Rosario Ascencio García</t>
  </si>
  <si>
    <t>*Ernesto Ávila Hernández</t>
  </si>
  <si>
    <t>*José Manuel Anguiano Miramontes</t>
  </si>
  <si>
    <t>*Eduardo Aguilera Meza</t>
  </si>
  <si>
    <t>*Osbaldo Anguiano Gutiérrez</t>
  </si>
  <si>
    <t>*Mercedes Becerra Acosta</t>
  </si>
  <si>
    <t>*Cipriano Blanco Candelario</t>
  </si>
  <si>
    <t>*Margarita Barrera Ruiz</t>
  </si>
  <si>
    <t>*José de Jesús Casillas Toscano</t>
  </si>
  <si>
    <t>*Cesar Castellón Santos</t>
  </si>
  <si>
    <t>*Ygnacio Celis Vizcarra</t>
  </si>
  <si>
    <t>*Luis Manuel Camarena Ávila</t>
  </si>
  <si>
    <t>*Lorenzo Chávez Saavedra</t>
  </si>
  <si>
    <t>*Aniceto Cedano Sánchez</t>
  </si>
  <si>
    <t>*Oswaldo Cuarenta Hernández</t>
  </si>
  <si>
    <t>*Ramón Alejandro Castro Ruelas</t>
  </si>
  <si>
    <t>*Jorge Humberto Camberos García</t>
  </si>
  <si>
    <t>*Alan Carrillo Estrada</t>
  </si>
  <si>
    <t>*Gabriela Berenice Castro Aguilar</t>
  </si>
  <si>
    <t>*Bernardette Casillas Santiago</t>
  </si>
  <si>
    <t>*Javier Guadalupe Delgado Contreras</t>
  </si>
  <si>
    <t>*Daniela Alejandra Ulloa Delgadillo</t>
  </si>
  <si>
    <t>EOCA750917MJCSRL05</t>
  </si>
  <si>
    <t>*Luz Evelia Flores Jiménez</t>
  </si>
  <si>
    <t>*Leticia Espinoza Trigueros</t>
  </si>
  <si>
    <t>*Ramón Echeverria Aldaz</t>
  </si>
  <si>
    <t>*Raúl Flores Gallo</t>
  </si>
  <si>
    <t>*Alicia Escobedo Curiel</t>
  </si>
  <si>
    <t>*José Flores Pacheco</t>
  </si>
  <si>
    <t>*Sara Flores Coccolán</t>
  </si>
  <si>
    <t>*Angelberto Feleños Cedano</t>
  </si>
  <si>
    <t>*Susana Meza Flores</t>
  </si>
  <si>
    <t>*Ma. Nancy Lucrecia Gallegos Álvarez</t>
  </si>
  <si>
    <t>*Edgar Alfredo Gallegos Cuarenta</t>
  </si>
  <si>
    <t>*Rubén García Rosales</t>
  </si>
  <si>
    <t>*Oswaldo Gallegos Muñoz</t>
  </si>
  <si>
    <t>*Jorge Iván Gallegos Rosales</t>
  </si>
  <si>
    <t>*Jorge Humberto Gómez Ramirez</t>
  </si>
  <si>
    <t>*Jesús Emmanuel Gómez Medina</t>
  </si>
  <si>
    <t>*Baudelio González Lara</t>
  </si>
  <si>
    <t>*Lilia Elizabeth González Ponce</t>
  </si>
  <si>
    <t>*Ivonne Gutiérrez Iñiguez</t>
  </si>
  <si>
    <t>*Margarita Gutiérrez Rizo</t>
  </si>
  <si>
    <t>*Edson Alejandro Gallegos Rosales</t>
  </si>
  <si>
    <t>*Filemón González Serrano</t>
  </si>
  <si>
    <t>*José de Jesús García Chavarín</t>
  </si>
  <si>
    <t>*Víctor Alfonso Hernández Vázquez</t>
  </si>
  <si>
    <t>*Andrés Hernández Torres</t>
  </si>
  <si>
    <t>*J. Jesús Hernández Vázquez</t>
  </si>
  <si>
    <t>*Felipe Hernandez Gonzalez</t>
  </si>
  <si>
    <t>*Juan Francisco Herrera Dillanes</t>
  </si>
  <si>
    <t>*Ma. Consuelo Hernández González</t>
  </si>
  <si>
    <t>*Juan Miguel Herrera Pérez</t>
  </si>
  <si>
    <t>*Arianna Janet Huerta Parra</t>
  </si>
  <si>
    <t>*María Luisa Jiménez Virgen</t>
  </si>
  <si>
    <t>*Sergio Iván Jiménez Salazar</t>
  </si>
  <si>
    <t>*Jorge Alberto López Hernández</t>
  </si>
  <si>
    <t>*Evelin López Virgen</t>
  </si>
  <si>
    <t>*Juan Lozano Vázquez</t>
  </si>
  <si>
    <t>*Simón Alberto Lara Aguilera</t>
  </si>
  <si>
    <t>*Juan Antonio Lozano Meza</t>
  </si>
  <si>
    <t>*Ana Isabel Lozano Sánchez</t>
  </si>
  <si>
    <t>*Nazareth Getzemaní Lara Rosales</t>
  </si>
  <si>
    <t>*Rosalba Márquez Camarena</t>
  </si>
  <si>
    <t>*Juan Fernando Medina Corona</t>
  </si>
  <si>
    <t>*Ocday Mendoza Morán</t>
  </si>
  <si>
    <t>*Ana Luisa Márquez Orozco</t>
  </si>
  <si>
    <t>*María del Socorro Meza Hernández</t>
  </si>
  <si>
    <t>*Adela Montes Barbosa</t>
  </si>
  <si>
    <t xml:space="preserve">*Nora Guadalupe Meza Camarillo </t>
  </si>
  <si>
    <t>*Ana Rosa Moran Diaz</t>
  </si>
  <si>
    <t>*Mónica Lizeth Moran Tapia</t>
  </si>
  <si>
    <t>*Adriana Martínez Carrillo</t>
  </si>
  <si>
    <t>MICA761107MJCRRN02</t>
  </si>
  <si>
    <t>*Ana Bertha Miramontes Cervantes</t>
  </si>
  <si>
    <t>*Juan Manuel Mercado Carbajal</t>
  </si>
  <si>
    <t>*Santos Emmanuel Martínez García</t>
  </si>
  <si>
    <t>*Jessica Morán García</t>
  </si>
  <si>
    <t>*José Ascensión Murguía Santiago</t>
  </si>
  <si>
    <t>*Leslye Belén Nuño Arreola</t>
  </si>
  <si>
    <t>*J. Félix Navarro Hermosillo</t>
  </si>
  <si>
    <t>*Rosalba Núñez Paredes</t>
  </si>
  <si>
    <t>*José Najar Rizo</t>
  </si>
  <si>
    <t>*Lisandro Fabián Núñez Loera</t>
  </si>
  <si>
    <t>*Brenda Guadalupe García Amezcua</t>
  </si>
  <si>
    <t>*Flor Ramona Núñez García</t>
  </si>
  <si>
    <t>*Sandra Navarro Mendoza</t>
  </si>
  <si>
    <t>*Silvia Olvera Zúñiga</t>
  </si>
  <si>
    <t>*Josué Fabián Orozco Anguiano</t>
  </si>
  <si>
    <t>*Juan Moisés Ocaranza Flores</t>
  </si>
  <si>
    <t>*Ramiro Oliva Vázquez</t>
  </si>
  <si>
    <t>*Lizbeth Oliva Flores</t>
  </si>
  <si>
    <t>*Gabriel Oliva Sánchez</t>
  </si>
  <si>
    <t>*Enrique Ortega Ascencio</t>
  </si>
  <si>
    <t>*Norberto Oliva Rosales</t>
  </si>
  <si>
    <t>*Juan Pedro Plascencia Gómez</t>
  </si>
  <si>
    <t>*Francisco Ortega Rojas</t>
  </si>
  <si>
    <t>*José de Jesús Olvera Zúñiga</t>
  </si>
  <si>
    <t>*Pedro Alejandro Puebla Gómez</t>
  </si>
  <si>
    <t>*Bertha Alicia Pérez Gil</t>
  </si>
  <si>
    <t>*Juan Pesqueda Rodríguez</t>
  </si>
  <si>
    <t>*Esmeralda Plascencia Ramirez</t>
  </si>
  <si>
    <t>PASR631118MJCRNB04</t>
  </si>
  <si>
    <t>*Rebeca Partida Sánchez</t>
  </si>
  <si>
    <t>*Mercedes Candelaria Pezqueda Rosales</t>
  </si>
  <si>
    <t>*Brenda Leticia Pulido Zepeda</t>
  </si>
  <si>
    <t xml:space="preserve">*Angelica Plasencia Ramirez </t>
  </si>
  <si>
    <t xml:space="preserve">*José Luis Rodríguez Lara </t>
  </si>
  <si>
    <t>*Jesús Ascensión Rodríguez Lara</t>
  </si>
  <si>
    <t>*María de la Luz Rodríguez Ruiz</t>
  </si>
  <si>
    <t>*Gabriela Reyes Espinoza</t>
  </si>
  <si>
    <t>*Salvador Rivera Venegas</t>
  </si>
  <si>
    <t>*J. Guadalupe Rodríguez Lara</t>
  </si>
  <si>
    <t>ROFE660112MJCDLV04</t>
  </si>
  <si>
    <t>*Eva Rodríguez Flores</t>
  </si>
  <si>
    <t>*Pedro Damián Ruelas Rubio</t>
  </si>
  <si>
    <t>*Sofía Rosales Gallegos</t>
  </si>
  <si>
    <t>*Victoriano Rosales Solorzano</t>
  </si>
  <si>
    <t>*María Elena Rodríguez Aldaz</t>
  </si>
  <si>
    <t>*Juan Ramirez Caratachia</t>
  </si>
  <si>
    <t>*Gustavo Ramirez Sánchez</t>
  </si>
  <si>
    <t>*Francisco Rodríguez  Ojeda</t>
  </si>
  <si>
    <t>*J. Isabel Rosales Solorzano</t>
  </si>
  <si>
    <t>*Magdaleno Rosales Gallo</t>
  </si>
  <si>
    <t>*José Antonio Rivera Gallegos</t>
  </si>
  <si>
    <t>*Fernando Guadalupe Rodríguez Rosales</t>
  </si>
  <si>
    <t>*María Juana Romo Rodríguez</t>
  </si>
  <si>
    <t>*Irma Ramírez Orozco</t>
  </si>
  <si>
    <t>*Abelino Rivera Hernández</t>
  </si>
  <si>
    <t>*Juan Antonio Ramirez Trigueros</t>
  </si>
  <si>
    <t>*María Paola Rodríguez Rodríguez</t>
  </si>
  <si>
    <t>*Rafael Rosales Sánchez</t>
  </si>
  <si>
    <t>*Rodolfo Sánchez Gracia</t>
  </si>
  <si>
    <t>*Juana Sandoval Ramirez</t>
  </si>
  <si>
    <t>*Brenda Mireya Silva Torres</t>
  </si>
  <si>
    <t>*José de Jesús Santos Martínez</t>
  </si>
  <si>
    <t>*Sandra Erika Santos Becerra</t>
  </si>
  <si>
    <t>*Juan Carlos Saahugún Partida</t>
  </si>
  <si>
    <t>*Héctor Martin Soto Escobedo</t>
  </si>
  <si>
    <t>*Mario Pedro Soto Alvarado</t>
  </si>
  <si>
    <t>*Elba Patricia Sánchez Flores</t>
  </si>
  <si>
    <t>*Alejandro Serrano Sandoval</t>
  </si>
  <si>
    <t>*Ana Rosa Sánchez Silva</t>
  </si>
  <si>
    <t>*J. Guadalupe Saavedra López</t>
  </si>
  <si>
    <t>*Víctor Manuel Sandoval Flores</t>
  </si>
  <si>
    <t>*Rigoberto Santos Becerra</t>
  </si>
  <si>
    <t>*Ma. De Lourdes Sánchez Meza</t>
  </si>
  <si>
    <t>*Luz Elena Santos Silva</t>
  </si>
  <si>
    <t>*J. Jesús Santos Meza</t>
  </si>
  <si>
    <t>*Alejandra Soto Villalobos</t>
  </si>
  <si>
    <t>*Javier Saavedra Ávila</t>
  </si>
  <si>
    <t>*Humberto Sierra Contreras</t>
  </si>
  <si>
    <t>*Manuel Alfredo Tapia Santiago</t>
  </si>
  <si>
    <t>*Lorena Torres Paredes</t>
  </si>
  <si>
    <t>*Laura Elena Torres Ramirez</t>
  </si>
  <si>
    <t>*Samuel Torres Esparza</t>
  </si>
  <si>
    <t>*Oscar Eduardo Torres Celis</t>
  </si>
  <si>
    <t>*José de Jesús Tapia Maciel</t>
  </si>
  <si>
    <t>*Juan Felipe Torres Sánchez</t>
  </si>
  <si>
    <t>*Arturo Tejeda Ibarra</t>
  </si>
  <si>
    <t>*Juan Gabriel Tovar Salazar</t>
  </si>
  <si>
    <t>*René Trigueros Marroquín</t>
  </si>
  <si>
    <t>*Fausto Torres González</t>
  </si>
  <si>
    <t xml:space="preserve">*José Román Trinidad Ramírez </t>
  </si>
  <si>
    <t>*Juan Manuel Tortoledo González</t>
  </si>
  <si>
    <t>*Raúl Tsunedoro Valdez Ureña</t>
  </si>
  <si>
    <t>*José de Jesús Venegas Rodríguez</t>
  </si>
  <si>
    <t>*Beverli Nayeli Valdez Mercado</t>
  </si>
  <si>
    <t>*Rigoberto Valdez Orozco</t>
  </si>
  <si>
    <t>*Francisco Javier Virgen Frausto</t>
  </si>
  <si>
    <t>*María Guadalupe Zepeda Ocampo</t>
  </si>
  <si>
    <t>*José de Jesús Zepeda Sánchez</t>
  </si>
  <si>
    <t>*Rubén Zepeda Álvarez</t>
  </si>
  <si>
    <t>*Maricruz González Sánchez</t>
  </si>
  <si>
    <t>*Abraham Horacio Campante Viorato</t>
  </si>
  <si>
    <t>*Jesús Durán Enríquez</t>
  </si>
  <si>
    <t>*Cristian Alexis Basilio Tapia</t>
  </si>
  <si>
    <t>*Luisa Fabiola Tapia Vidal</t>
  </si>
  <si>
    <t>*Jorge Leonardo Castro Garagarza</t>
  </si>
  <si>
    <t>*Yosmar Raymundo Gómez Cárdenas</t>
  </si>
  <si>
    <t>*Alexis Salvador Barajas Becerra</t>
  </si>
  <si>
    <t>*Sandra Griselda Maldonado Gómez</t>
  </si>
  <si>
    <t>*Edgar Ulises Sandoval Bautista</t>
  </si>
  <si>
    <t>*Lorenzo Antonio Luna Anguiano</t>
  </si>
  <si>
    <t>*José Daniel Luna Anguiano</t>
  </si>
  <si>
    <t>*Gilberto Cortez Espinoza</t>
  </si>
  <si>
    <t>*Rosalba Mora Díaz</t>
  </si>
  <si>
    <t>*Rosalio Siordia Flores</t>
  </si>
  <si>
    <t>Edgar Aaron Flores Ramirez</t>
  </si>
  <si>
    <t>Marco Antonio Lara Aguilera</t>
  </si>
  <si>
    <t>NOMINA DEL 1 AL 15 DE ENERO DEL 2022</t>
  </si>
  <si>
    <t>*Karin Sanchez Ruvalcaba</t>
  </si>
  <si>
    <t>*José Juan Daniel Luna Anguiano</t>
  </si>
  <si>
    <t>*Javier Alejandro Solorzano Meza</t>
  </si>
  <si>
    <t>Salvador Santillan Partida</t>
  </si>
  <si>
    <t>Luis Octavio García Grajeda</t>
  </si>
  <si>
    <t>Luis Angel Tamayo Guillen</t>
  </si>
  <si>
    <t>*J. Jesús Velazquez Moya</t>
  </si>
  <si>
    <t>Jose de Jesús Gallo Torres</t>
  </si>
  <si>
    <t>Oficial de registro civil</t>
  </si>
  <si>
    <t>REGISTRO CIVIL</t>
  </si>
  <si>
    <r>
      <t>o</t>
    </r>
    <r>
      <rPr>
        <sz val="9"/>
        <color indexed="10"/>
        <rFont val="Arial"/>
        <family val="2"/>
      </rPr>
      <t xml:space="preserve"> (A Favor)</t>
    </r>
  </si>
  <si>
    <t>*Martha Gpe. Gómez Sánchez</t>
  </si>
  <si>
    <t>*Ma. Gpe. Armenta Virgen</t>
  </si>
  <si>
    <t>*María Gpe. Hernández Gallegos</t>
  </si>
  <si>
    <t>*Gpe. Yaneth Cortez Morales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</si>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</sst>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b/>
      <i/>
      <sz val="12"/>
      <name val="Arial"/>
      <family val="2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24"/>
      <color rgb="FFFF0000"/>
      <name val="Arial"/>
      <family val="2"/>
    </font>
    <font>
      <sz val="22"/>
      <color rgb="FFFF0000"/>
      <name val="Arial"/>
      <family val="2"/>
    </font>
    <font>
      <b/>
      <sz val="9"/>
      <name val="Arial"/>
      <family val="2"/>
    </font>
    <font>
      <b/>
      <sz val="10"/>
      <color indexed="18"/>
      <name val="Arial"/>
      <family val="2"/>
    </font>
    <font>
      <b/>
      <sz val="18"/>
      <name val="Arial"/>
      <family val="2"/>
    </font>
    <font>
      <sz val="9"/>
      <color indexed="10"/>
      <name val="Arial"/>
      <family val="2"/>
    </font>
    <font>
      <b/>
      <sz val="13.3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/>
    <xf numFmtId="9" fontId="1" fillId="0" borderId="0" applyFont="0" applyFill="0" applyBorder="0" applyAlignment="0" applyProtection="0"/>
    <xf numFmtId="0" fontId="1" fillId="0" borderId="0"/>
  </cellStyleXfs>
  <cellXfs count="626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4" fillId="0" borderId="0" xfId="4" applyNumberFormat="1" applyFont="1" applyProtection="1"/>
    <xf numFmtId="167" fontId="6" fillId="0" borderId="0" xfId="4" applyProtection="1"/>
    <xf numFmtId="4" fontId="4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7" fillId="2" borderId="0" xfId="4" applyNumberFormat="1" applyFont="1" applyFill="1" applyAlignment="1" applyProtection="1">
      <alignment horizontal="centerContinuous"/>
      <protection locked="0"/>
    </xf>
    <xf numFmtId="167" fontId="6" fillId="2" borderId="0" xfId="4" applyFill="1" applyAlignment="1" applyProtection="1">
      <alignment horizontal="centerContinuous"/>
    </xf>
    <xf numFmtId="167" fontId="6" fillId="0" borderId="0" xfId="4" applyBorder="1" applyProtection="1"/>
    <xf numFmtId="4" fontId="8" fillId="0" borderId="0" xfId="4" applyNumberFormat="1" applyFont="1" applyBorder="1" applyAlignment="1" applyProtection="1">
      <alignment horizontal="centerContinuous"/>
    </xf>
    <xf numFmtId="4" fontId="9" fillId="0" borderId="0" xfId="4" applyNumberFormat="1" applyFont="1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0" fontId="1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3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/>
    <xf numFmtId="0" fontId="14" fillId="0" borderId="0" xfId="0" applyFont="1" applyAlignment="1" applyProtection="1">
      <alignment horizontal="centerContinuous"/>
    </xf>
    <xf numFmtId="167" fontId="15" fillId="0" borderId="0" xfId="4" applyFont="1" applyAlignment="1" applyProtection="1">
      <alignment horizontal="centerContinuous"/>
    </xf>
    <xf numFmtId="167" fontId="11" fillId="0" borderId="0" xfId="4" applyFont="1" applyAlignment="1" applyProtection="1">
      <alignment horizontal="centerContinuous"/>
    </xf>
    <xf numFmtId="167" fontId="6" fillId="0" borderId="0" xfId="4" applyAlignment="1" applyProtection="1">
      <alignment horizontal="centerContinuous"/>
    </xf>
    <xf numFmtId="3" fontId="13" fillId="0" borderId="0" xfId="4" quotePrefix="1" applyNumberFormat="1" applyFont="1" applyBorder="1" applyAlignment="1" applyProtection="1">
      <alignment horizontal="fill"/>
    </xf>
    <xf numFmtId="0" fontId="17" fillId="0" borderId="0" xfId="0" applyFont="1" applyAlignment="1" applyProtection="1">
      <alignment horizontal="centerContinuous"/>
    </xf>
    <xf numFmtId="167" fontId="11" fillId="0" borderId="0" xfId="4" applyFont="1" applyProtection="1"/>
    <xf numFmtId="167" fontId="2" fillId="0" borderId="0" xfId="4" applyFont="1" applyAlignment="1" applyProtection="1">
      <alignment horizontal="centerContinuous"/>
    </xf>
    <xf numFmtId="167" fontId="4" fillId="0" borderId="0" xfId="4" applyFont="1" applyProtection="1"/>
    <xf numFmtId="167" fontId="4" fillId="0" borderId="0" xfId="4" applyFont="1" applyAlignment="1" applyProtection="1">
      <alignment horizontal="centerContinuous"/>
    </xf>
    <xf numFmtId="3" fontId="13" fillId="0" borderId="0" xfId="4" applyNumberFormat="1" applyFont="1" applyBorder="1" applyProtection="1"/>
    <xf numFmtId="167" fontId="16" fillId="0" borderId="0" xfId="4" applyFont="1" applyAlignment="1" applyProtection="1">
      <alignment horizontal="center"/>
    </xf>
    <xf numFmtId="167" fontId="16" fillId="0" borderId="0" xfId="4" applyFont="1" applyProtection="1"/>
    <xf numFmtId="167" fontId="13" fillId="0" borderId="0" xfId="4" applyFont="1" applyProtection="1"/>
    <xf numFmtId="4" fontId="13" fillId="0" borderId="0" xfId="4" applyNumberFormat="1" applyFont="1" applyProtection="1"/>
    <xf numFmtId="10" fontId="13" fillId="0" borderId="0" xfId="4" applyNumberFormat="1" applyFont="1" applyProtection="1"/>
    <xf numFmtId="9" fontId="13" fillId="0" borderId="0" xfId="4" applyNumberFormat="1" applyFont="1" applyProtection="1"/>
    <xf numFmtId="165" fontId="13" fillId="0" borderId="0" xfId="5" applyNumberFormat="1" applyFont="1" applyBorder="1" applyProtection="1"/>
    <xf numFmtId="4" fontId="13" fillId="0" borderId="0" xfId="4" applyNumberFormat="1" applyFont="1" applyBorder="1" applyAlignment="1" applyProtection="1">
      <alignment horizontal="left" vertical="top"/>
    </xf>
    <xf numFmtId="3" fontId="13" fillId="0" borderId="0" xfId="4" applyNumberFormat="1" applyFont="1" applyBorder="1" applyAlignment="1" applyProtection="1">
      <alignment vertical="top"/>
    </xf>
    <xf numFmtId="9" fontId="13" fillId="0" borderId="0" xfId="5" applyFont="1" applyBorder="1" applyProtection="1"/>
    <xf numFmtId="4" fontId="13" fillId="0" borderId="0" xfId="4" applyNumberFormat="1" applyFont="1" applyBorder="1" applyAlignment="1" applyProtection="1">
      <alignment vertical="top"/>
    </xf>
    <xf numFmtId="4" fontId="13" fillId="0" borderId="0" xfId="4" quotePrefix="1" applyNumberFormat="1" applyFont="1" applyBorder="1" applyAlignment="1" applyProtection="1">
      <alignment horizontal="center"/>
    </xf>
    <xf numFmtId="0" fontId="5" fillId="0" borderId="0" xfId="0" applyFont="1" applyProtection="1"/>
    <xf numFmtId="9" fontId="13" fillId="0" borderId="0" xfId="5" applyFont="1" applyProtection="1">
      <protection locked="0"/>
    </xf>
    <xf numFmtId="0" fontId="13" fillId="0" borderId="0" xfId="0" applyFont="1" applyProtection="1"/>
    <xf numFmtId="0" fontId="13" fillId="0" borderId="0" xfId="0" applyFont="1" applyBorder="1" applyProtection="1"/>
    <xf numFmtId="4" fontId="18" fillId="0" borderId="0" xfId="4" applyNumberFormat="1" applyFont="1" applyBorder="1" applyAlignment="1" applyProtection="1">
      <alignment horizontal="left"/>
    </xf>
    <xf numFmtId="4" fontId="16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>
      <protection locked="0"/>
    </xf>
    <xf numFmtId="0" fontId="22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4" fontId="4" fillId="0" borderId="0" xfId="4" applyNumberFormat="1" applyFont="1" applyBorder="1" applyProtection="1"/>
    <xf numFmtId="38" fontId="10" fillId="0" borderId="0" xfId="4" applyNumberFormat="1" applyFont="1" applyBorder="1" applyProtection="1"/>
    <xf numFmtId="168" fontId="4" fillId="0" borderId="0" xfId="3" applyNumberFormat="1" applyFont="1" applyBorder="1" applyProtection="1"/>
    <xf numFmtId="164" fontId="4" fillId="0" borderId="0" xfId="3" applyFont="1" applyProtection="1"/>
    <xf numFmtId="3" fontId="4" fillId="0" borderId="0" xfId="4" applyNumberFormat="1" applyFont="1" applyProtection="1"/>
    <xf numFmtId="4" fontId="17" fillId="3" borderId="0" xfId="4" applyNumberFormat="1" applyFont="1" applyFill="1" applyProtection="1"/>
    <xf numFmtId="4" fontId="4" fillId="3" borderId="0" xfId="4" applyNumberFormat="1" applyFont="1" applyFill="1" applyProtection="1"/>
    <xf numFmtId="167" fontId="3" fillId="0" borderId="0" xfId="4" applyFont="1" applyAlignment="1" applyProtection="1">
      <alignment horizontal="right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6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fill"/>
    </xf>
    <xf numFmtId="0" fontId="26" fillId="0" borderId="0" xfId="0" applyFont="1" applyAlignment="1" applyProtection="1">
      <alignment horizontal="fill"/>
    </xf>
    <xf numFmtId="39" fontId="26" fillId="0" borderId="1" xfId="0" applyNumberFormat="1" applyFont="1" applyBorder="1" applyProtection="1"/>
    <xf numFmtId="10" fontId="26" fillId="0" borderId="1" xfId="0" applyNumberFormat="1" applyFont="1" applyBorder="1" applyProtection="1"/>
    <xf numFmtId="39" fontId="26" fillId="0" borderId="0" xfId="0" applyNumberFormat="1" applyFont="1" applyProtection="1"/>
    <xf numFmtId="39" fontId="26" fillId="0" borderId="2" xfId="0" applyNumberFormat="1" applyFont="1" applyBorder="1" applyProtection="1"/>
    <xf numFmtId="10" fontId="26" fillId="0" borderId="2" xfId="0" applyNumberFormat="1" applyFont="1" applyBorder="1" applyProtection="1"/>
    <xf numFmtId="0" fontId="26" fillId="0" borderId="2" xfId="0" applyFont="1" applyBorder="1" applyProtection="1"/>
    <xf numFmtId="0" fontId="28" fillId="0" borderId="0" xfId="0" applyFont="1" applyProtection="1"/>
    <xf numFmtId="0" fontId="27" fillId="0" borderId="0" xfId="0" applyFont="1" applyProtection="1">
      <protection locked="0"/>
    </xf>
    <xf numFmtId="39" fontId="26" fillId="0" borderId="1" xfId="0" applyNumberFormat="1" applyFont="1" applyBorder="1" applyProtection="1">
      <protection locked="0"/>
    </xf>
    <xf numFmtId="10" fontId="26" fillId="0" borderId="1" xfId="0" applyNumberFormat="1" applyFont="1" applyBorder="1" applyProtection="1">
      <protection locked="0"/>
    </xf>
    <xf numFmtId="39" fontId="26" fillId="0" borderId="1" xfId="0" applyNumberFormat="1" applyFont="1" applyFill="1" applyBorder="1" applyProtection="1">
      <protection locked="0"/>
    </xf>
    <xf numFmtId="0" fontId="30" fillId="0" borderId="0" xfId="0" applyFont="1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4" fontId="11" fillId="2" borderId="0" xfId="4" applyNumberFormat="1" applyFont="1" applyFill="1" applyAlignment="1" applyProtection="1">
      <alignment horizontal="centerContinuous"/>
    </xf>
    <xf numFmtId="49" fontId="32" fillId="2" borderId="0" xfId="4" applyNumberFormat="1" applyFont="1" applyFill="1" applyAlignment="1" applyProtection="1">
      <alignment horizontal="centerContinuous"/>
      <protection locked="0"/>
    </xf>
    <xf numFmtId="169" fontId="13" fillId="0" borderId="0" xfId="4" applyNumberFormat="1" applyFont="1" applyBorder="1" applyProtection="1">
      <protection locked="0"/>
    </xf>
    <xf numFmtId="169" fontId="13" fillId="0" borderId="0" xfId="4" quotePrefix="1" applyNumberFormat="1" applyFont="1" applyBorder="1" applyAlignment="1" applyProtection="1">
      <alignment horizontal="fill"/>
    </xf>
    <xf numFmtId="169" fontId="13" fillId="0" borderId="0" xfId="4" applyNumberFormat="1" applyFont="1" applyBorder="1" applyProtection="1"/>
    <xf numFmtId="10" fontId="13" fillId="0" borderId="0" xfId="5" applyNumberFormat="1" applyFont="1" applyBorder="1" applyProtection="1"/>
    <xf numFmtId="169" fontId="13" fillId="0" borderId="0" xfId="4" applyNumberFormat="1" applyFont="1" applyBorder="1" applyAlignment="1" applyProtection="1">
      <alignment vertical="top"/>
    </xf>
    <xf numFmtId="169" fontId="5" fillId="0" borderId="0" xfId="0" applyNumberFormat="1" applyFont="1" applyProtection="1"/>
    <xf numFmtId="169" fontId="6" fillId="0" borderId="0" xfId="4" applyNumberFormat="1" applyProtection="1"/>
    <xf numFmtId="169" fontId="18" fillId="0" borderId="14" xfId="3" applyNumberFormat="1" applyFont="1" applyBorder="1" applyProtection="1"/>
    <xf numFmtId="169" fontId="16" fillId="0" borderId="15" xfId="3" applyNumberFormat="1" applyFont="1" applyBorder="1" applyProtection="1"/>
    <xf numFmtId="4" fontId="5" fillId="0" borderId="0" xfId="4" applyNumberFormat="1" applyFont="1" applyProtection="1"/>
    <xf numFmtId="10" fontId="5" fillId="0" borderId="0" xfId="4" applyNumberFormat="1" applyFont="1" applyProtection="1"/>
    <xf numFmtId="4" fontId="11" fillId="3" borderId="0" xfId="4" applyNumberFormat="1" applyFont="1" applyFill="1" applyProtection="1"/>
    <xf numFmtId="0" fontId="37" fillId="0" borderId="0" xfId="0" applyFont="1" applyProtection="1"/>
    <xf numFmtId="4" fontId="37" fillId="0" borderId="0" xfId="4" applyNumberFormat="1" applyFont="1" applyProtection="1"/>
    <xf numFmtId="0" fontId="2" fillId="0" borderId="0" xfId="0" applyFont="1" applyProtection="1"/>
    <xf numFmtId="43" fontId="1" fillId="0" borderId="0" xfId="2" applyFont="1" applyProtection="1"/>
    <xf numFmtId="43" fontId="34" fillId="0" borderId="0" xfId="2" applyFont="1" applyFill="1" applyProtection="1"/>
    <xf numFmtId="0" fontId="34" fillId="0" borderId="0" xfId="0" applyFont="1" applyFill="1" applyProtection="1"/>
    <xf numFmtId="169" fontId="36" fillId="0" borderId="0" xfId="0" applyNumberFormat="1" applyFont="1" applyFill="1" applyProtection="1"/>
    <xf numFmtId="43" fontId="1" fillId="0" borderId="0" xfId="0" applyNumberFormat="1" applyFont="1" applyProtection="1"/>
    <xf numFmtId="0" fontId="1" fillId="0" borderId="0" xfId="0" applyFont="1" applyFill="1" applyProtection="1"/>
    <xf numFmtId="169" fontId="23" fillId="0" borderId="0" xfId="0" applyNumberFormat="1" applyFont="1" applyFill="1" applyProtection="1"/>
    <xf numFmtId="43" fontId="1" fillId="0" borderId="0" xfId="2" applyFont="1" applyFill="1" applyProtection="1"/>
    <xf numFmtId="0" fontId="2" fillId="0" borderId="0" xfId="0" applyFont="1" applyFill="1" applyProtection="1"/>
    <xf numFmtId="43" fontId="2" fillId="0" borderId="0" xfId="2" applyFont="1" applyFill="1" applyProtection="1"/>
    <xf numFmtId="169" fontId="34" fillId="0" borderId="0" xfId="0" applyNumberFormat="1" applyFont="1" applyFill="1" applyProtection="1"/>
    <xf numFmtId="0" fontId="1" fillId="0" borderId="0" xfId="0" applyFont="1"/>
    <xf numFmtId="169" fontId="10" fillId="0" borderId="0" xfId="0" applyNumberFormat="1" applyFont="1" applyFill="1" applyProtection="1"/>
    <xf numFmtId="43" fontId="10" fillId="0" borderId="0" xfId="2" applyFont="1" applyFill="1" applyProtection="1"/>
    <xf numFmtId="0" fontId="1" fillId="0" borderId="0" xfId="0" applyFont="1" applyFill="1"/>
    <xf numFmtId="0" fontId="10" fillId="0" borderId="0" xfId="0" applyFont="1" applyFill="1" applyProtection="1"/>
    <xf numFmtId="169" fontId="1" fillId="0" borderId="0" xfId="0" applyNumberFormat="1" applyFont="1"/>
    <xf numFmtId="43" fontId="1" fillId="0" borderId="0" xfId="0" applyNumberFormat="1" applyFont="1"/>
    <xf numFmtId="169" fontId="1" fillId="0" borderId="0" xfId="0" applyNumberFormat="1" applyFont="1" applyFill="1"/>
    <xf numFmtId="43" fontId="34" fillId="5" borderId="0" xfId="2" applyFont="1" applyFill="1" applyProtection="1"/>
    <xf numFmtId="0" fontId="34" fillId="5" borderId="0" xfId="0" applyFont="1" applyFill="1" applyProtection="1"/>
    <xf numFmtId="0" fontId="34" fillId="0" borderId="4" xfId="0" applyFont="1" applyFill="1" applyBorder="1" applyProtection="1"/>
    <xf numFmtId="43" fontId="1" fillId="5" borderId="0" xfId="2" applyFont="1" applyFill="1" applyProtection="1"/>
    <xf numFmtId="43" fontId="1" fillId="0" borderId="4" xfId="2" applyFont="1" applyBorder="1" applyProtection="1"/>
    <xf numFmtId="43" fontId="34" fillId="0" borderId="4" xfId="2" applyFont="1" applyFill="1" applyBorder="1" applyProtection="1"/>
    <xf numFmtId="0" fontId="11" fillId="0" borderId="0" xfId="0" applyFont="1"/>
    <xf numFmtId="0" fontId="1" fillId="0" borderId="19" xfId="0" applyFont="1" applyBorder="1"/>
    <xf numFmtId="0" fontId="1" fillId="0" borderId="0" xfId="0" applyFont="1" applyFill="1" applyBorder="1" applyProtection="1"/>
    <xf numFmtId="0" fontId="1" fillId="0" borderId="0" xfId="0" applyFont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0" fillId="0" borderId="0" xfId="0" applyFill="1"/>
    <xf numFmtId="0" fontId="1" fillId="0" borderId="0" xfId="0" applyFont="1" applyBorder="1"/>
    <xf numFmtId="0" fontId="38" fillId="0" borderId="0" xfId="0" applyFont="1" applyAlignment="1" applyProtection="1">
      <alignment vertical="center" wrapText="1"/>
    </xf>
    <xf numFmtId="169" fontId="7" fillId="7" borderId="0" xfId="0" applyNumberFormat="1" applyFont="1" applyFill="1" applyProtection="1"/>
    <xf numFmtId="0" fontId="1" fillId="0" borderId="0" xfId="0" applyNumberFormat="1" applyFo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1" fillId="8" borderId="0" xfId="0" applyFont="1" applyFill="1" applyProtection="1"/>
    <xf numFmtId="2" fontId="1" fillId="0" borderId="0" xfId="0" applyNumberFormat="1" applyFont="1" applyProtection="1"/>
    <xf numFmtId="0" fontId="34" fillId="0" borderId="0" xfId="0" applyFont="1" applyFill="1" applyAlignment="1" applyProtection="1"/>
    <xf numFmtId="0" fontId="5" fillId="0" borderId="0" xfId="0" applyFont="1"/>
    <xf numFmtId="0" fontId="39" fillId="0" borderId="0" xfId="0" applyFont="1" applyAlignment="1" applyProtection="1">
      <alignment vertical="center" wrapText="1"/>
    </xf>
    <xf numFmtId="2" fontId="7" fillId="9" borderId="0" xfId="0" applyNumberFormat="1" applyFont="1" applyFill="1" applyProtection="1"/>
    <xf numFmtId="43" fontId="34" fillId="0" borderId="0" xfId="2" applyFont="1" applyFill="1" applyAlignment="1" applyProtection="1">
      <alignment vertical="center" wrapText="1"/>
    </xf>
    <xf numFmtId="43" fontId="34" fillId="5" borderId="0" xfId="2" applyFont="1" applyFill="1" applyAlignment="1" applyProtection="1">
      <alignment vertical="center" wrapText="1"/>
    </xf>
    <xf numFmtId="43" fontId="1" fillId="0" borderId="0" xfId="2" applyFont="1" applyFill="1" applyAlignment="1" applyProtection="1">
      <alignment vertical="center" wrapText="1"/>
    </xf>
    <xf numFmtId="43" fontId="34" fillId="0" borderId="4" xfId="2" applyFont="1" applyFill="1" applyBorder="1" applyAlignment="1" applyProtection="1">
      <alignment vertical="center" wrapText="1"/>
    </xf>
    <xf numFmtId="0" fontId="34" fillId="10" borderId="0" xfId="0" applyFont="1" applyFill="1" applyProtection="1"/>
    <xf numFmtId="0" fontId="34" fillId="12" borderId="0" xfId="0" applyFont="1" applyFill="1" applyProtection="1"/>
    <xf numFmtId="0" fontId="1" fillId="12" borderId="0" xfId="0" applyFont="1" applyFill="1" applyProtection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40" fillId="0" borderId="0" xfId="0" applyFont="1" applyAlignment="1">
      <alignment wrapText="1"/>
    </xf>
    <xf numFmtId="0" fontId="2" fillId="0" borderId="0" xfId="0" applyFont="1" applyFill="1" applyAlignment="1" applyProtection="1">
      <alignment vertical="center"/>
    </xf>
    <xf numFmtId="169" fontId="0" fillId="0" borderId="0" xfId="0" applyNumberFormat="1"/>
    <xf numFmtId="169" fontId="1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3" fontId="34" fillId="0" borderId="0" xfId="2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169" fontId="1" fillId="0" borderId="4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169" fontId="23" fillId="0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wrapText="1"/>
    </xf>
    <xf numFmtId="169" fontId="5" fillId="0" borderId="21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9" xfId="0" applyFont="1" applyFill="1" applyBorder="1" applyAlignment="1" applyProtection="1">
      <alignment vertical="center"/>
    </xf>
    <xf numFmtId="43" fontId="1" fillId="0" borderId="0" xfId="2" applyFont="1" applyFill="1" applyAlignment="1" applyProtection="1">
      <alignment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9" fontId="1" fillId="0" borderId="18" xfId="2" applyNumberFormat="1" applyFont="1" applyFill="1" applyBorder="1" applyAlignment="1" applyProtection="1">
      <alignment horizontal="right" vertical="center"/>
    </xf>
    <xf numFmtId="169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3" fontId="1" fillId="0" borderId="0" xfId="2" applyFont="1" applyFill="1" applyAlignment="1" applyProtection="1">
      <alignment horizontal="center" vertical="center"/>
    </xf>
    <xf numFmtId="169" fontId="1" fillId="0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4" xfId="2" applyNumberFormat="1" applyFont="1" applyFill="1" applyBorder="1" applyAlignment="1" applyProtection="1">
      <alignment horizontal="center" vertical="center"/>
    </xf>
    <xf numFmtId="169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9" fontId="23" fillId="0" borderId="0" xfId="0" applyNumberFormat="1" applyFont="1" applyFill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9" fontId="1" fillId="0" borderId="0" xfId="2" applyNumberFormat="1" applyFont="1" applyFill="1" applyBorder="1" applyAlignment="1" applyProtection="1">
      <alignment horizontal="center" vertical="center"/>
    </xf>
    <xf numFmtId="169" fontId="1" fillId="0" borderId="2" xfId="2" applyNumberFormat="1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169" fontId="2" fillId="0" borderId="7" xfId="2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NumberFormat="1" applyFont="1" applyAlignment="1" applyProtection="1">
      <alignment horizontal="center" vertical="center"/>
    </xf>
    <xf numFmtId="2" fontId="29" fillId="0" borderId="0" xfId="0" applyNumberFormat="1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center" vertical="center" wrapText="1"/>
    </xf>
    <xf numFmtId="10" fontId="1" fillId="0" borderId="4" xfId="5" applyNumberFormat="1" applyFont="1" applyFill="1" applyBorder="1" applyAlignment="1" applyProtection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center" vertical="center" wrapText="1"/>
    </xf>
    <xf numFmtId="170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2" fillId="0" borderId="4" xfId="2" applyNumberFormat="1" applyFont="1" applyBorder="1" applyAlignment="1" applyProtection="1">
      <alignment horizontal="center" vertical="center" wrapText="1"/>
    </xf>
    <xf numFmtId="169" fontId="2" fillId="0" borderId="4" xfId="2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3" fontId="2" fillId="0" borderId="0" xfId="2" applyFont="1" applyFill="1" applyAlignment="1" applyProtection="1">
      <alignment horizontal="center"/>
    </xf>
    <xf numFmtId="169" fontId="1" fillId="0" borderId="0" xfId="0" applyNumberFormat="1" applyFont="1" applyFill="1" applyAlignment="1" applyProtection="1">
      <alignment horizontal="center"/>
    </xf>
    <xf numFmtId="169" fontId="1" fillId="6" borderId="0" xfId="0" applyNumberFormat="1" applyFont="1" applyFill="1" applyAlignment="1" applyProtection="1">
      <alignment horizontal="center"/>
    </xf>
    <xf numFmtId="0" fontId="1" fillId="10" borderId="0" xfId="0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Fill="1" applyBorder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 wrapText="1"/>
    </xf>
    <xf numFmtId="169" fontId="2" fillId="0" borderId="4" xfId="2" applyNumberFormat="1" applyFont="1" applyFill="1" applyBorder="1" applyAlignment="1" applyProtection="1">
      <alignment horizontal="center" vertical="center"/>
    </xf>
    <xf numFmtId="170" fontId="1" fillId="0" borderId="4" xfId="2" applyNumberFormat="1" applyFont="1" applyFill="1" applyBorder="1" applyAlignment="1" applyProtection="1">
      <alignment horizontal="center" vertical="center"/>
      <protection locked="0"/>
    </xf>
    <xf numFmtId="169" fontId="1" fillId="12" borderId="4" xfId="2" applyNumberFormat="1" applyFont="1" applyFill="1" applyBorder="1" applyAlignment="1" applyProtection="1">
      <alignment horizontal="center" vertical="center"/>
    </xf>
    <xf numFmtId="0" fontId="1" fillId="12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vertical="center"/>
    </xf>
    <xf numFmtId="169" fontId="1" fillId="0" borderId="0" xfId="0" applyNumberFormat="1" applyFont="1" applyFill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169" fontId="1" fillId="5" borderId="4" xfId="0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</xf>
    <xf numFmtId="1" fontId="1" fillId="5" borderId="4" xfId="2" applyNumberFormat="1" applyFont="1" applyFill="1" applyBorder="1" applyAlignment="1" applyProtection="1">
      <alignment horizontal="center" vertical="center"/>
    </xf>
    <xf numFmtId="10" fontId="1" fillId="5" borderId="4" xfId="5" applyNumberFormat="1" applyFont="1" applyFill="1" applyBorder="1" applyAlignment="1" applyProtection="1">
      <alignment horizontal="center" vertical="center"/>
    </xf>
    <xf numFmtId="2" fontId="1" fillId="5" borderId="4" xfId="2" applyNumberFormat="1" applyFont="1" applyFill="1" applyBorder="1" applyAlignment="1" applyProtection="1">
      <alignment horizontal="center" vertical="center"/>
    </xf>
    <xf numFmtId="170" fontId="1" fillId="5" borderId="4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2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9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1" fontId="1" fillId="0" borderId="4" xfId="2" applyNumberFormat="1" applyFont="1" applyBorder="1" applyAlignment="1" applyProtection="1">
      <alignment horizontal="center" vertical="center"/>
    </xf>
    <xf numFmtId="169" fontId="2" fillId="0" borderId="22" xfId="2" applyNumberFormat="1" applyFont="1" applyBorder="1" applyAlignment="1" applyProtection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69" fontId="1" fillId="0" borderId="4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ont="1" applyFill="1" applyBorder="1" applyAlignment="1" applyProtection="1">
      <alignment horizontal="center"/>
    </xf>
    <xf numFmtId="10" fontId="1" fillId="0" borderId="6" xfId="5" applyNumberFormat="1" applyFont="1" applyFill="1" applyBorder="1" applyAlignment="1" applyProtection="1">
      <alignment horizontal="center"/>
    </xf>
    <xf numFmtId="2" fontId="1" fillId="0" borderId="0" xfId="2" applyNumberFormat="1" applyFont="1" applyFill="1" applyBorder="1" applyAlignment="1" applyProtection="1">
      <alignment horizontal="center"/>
    </xf>
    <xf numFmtId="170" fontId="1" fillId="0" borderId="6" xfId="2" applyNumberFormat="1" applyFont="1" applyFill="1" applyBorder="1" applyAlignment="1" applyProtection="1">
      <alignment horizontal="center"/>
      <protection locked="0"/>
    </xf>
    <xf numFmtId="169" fontId="1" fillId="0" borderId="0" xfId="2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2" fillId="0" borderId="22" xfId="2" applyNumberFormat="1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9" fontId="1" fillId="0" borderId="4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wrapText="1"/>
    </xf>
    <xf numFmtId="169" fontId="5" fillId="0" borderId="0" xfId="0" applyNumberFormat="1" applyFont="1" applyFill="1" applyBorder="1" applyAlignment="1" applyProtection="1">
      <alignment wrapText="1"/>
    </xf>
    <xf numFmtId="0" fontId="1" fillId="0" borderId="13" xfId="0" applyFont="1" applyFill="1" applyBorder="1" applyAlignment="1" applyProtection="1">
      <alignment horizontal="center" vertical="center" wrapText="1"/>
    </xf>
    <xf numFmtId="169" fontId="23" fillId="0" borderId="0" xfId="0" applyNumberFormat="1" applyFont="1" applyAlignment="1">
      <alignment horizontal="center" vertical="center"/>
    </xf>
    <xf numFmtId="169" fontId="23" fillId="0" borderId="0" xfId="0" applyNumberFormat="1" applyFont="1"/>
    <xf numFmtId="0" fontId="40" fillId="0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9" fontId="5" fillId="0" borderId="4" xfId="2" applyNumberFormat="1" applyFont="1" applyFill="1" applyBorder="1" applyAlignment="1" applyProtection="1">
      <alignment horizontal="center" vertical="center" wrapText="1"/>
    </xf>
    <xf numFmtId="169" fontId="16" fillId="0" borderId="4" xfId="2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9" fontId="9" fillId="0" borderId="4" xfId="2" applyNumberFormat="1" applyFont="1" applyFill="1" applyBorder="1" applyAlignment="1" applyProtection="1">
      <alignment horizontal="center" vertical="center" wrapText="1"/>
    </xf>
    <xf numFmtId="169" fontId="8" fillId="0" borderId="4" xfId="2" applyNumberFormat="1" applyFont="1" applyFill="1" applyBorder="1" applyAlignment="1" applyProtection="1">
      <alignment horizontal="center" vertical="center" wrapText="1"/>
    </xf>
    <xf numFmtId="43" fontId="40" fillId="0" borderId="4" xfId="2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  <protection locked="0"/>
    </xf>
    <xf numFmtId="169" fontId="37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37" fillId="0" borderId="4" xfId="2" applyNumberFormat="1" applyFont="1" applyFill="1" applyBorder="1" applyAlignment="1" applyProtection="1">
      <alignment horizontal="center" vertical="center" wrapText="1"/>
    </xf>
    <xf numFmtId="169" fontId="37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37" fillId="0" borderId="4" xfId="2" applyNumberFormat="1" applyFont="1" applyFill="1" applyBorder="1" applyAlignment="1" applyProtection="1">
      <alignment horizontal="center" vertical="center" wrapText="1"/>
    </xf>
    <xf numFmtId="10" fontId="37" fillId="0" borderId="4" xfId="5" applyNumberFormat="1" applyFont="1" applyFill="1" applyBorder="1" applyAlignment="1" applyProtection="1">
      <alignment horizontal="center" vertical="center" wrapText="1"/>
    </xf>
    <xf numFmtId="2" fontId="37" fillId="0" borderId="4" xfId="2" applyNumberFormat="1" applyFont="1" applyFill="1" applyBorder="1" applyAlignment="1" applyProtection="1">
      <alignment horizontal="center" vertical="center" wrapText="1"/>
    </xf>
    <xf numFmtId="170" fontId="37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40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40" fillId="0" borderId="4" xfId="2" applyNumberFormat="1" applyFont="1" applyFill="1" applyBorder="1" applyAlignment="1" applyProtection="1">
      <alignment horizontal="center" vertical="center" wrapText="1"/>
    </xf>
    <xf numFmtId="0" fontId="40" fillId="0" borderId="4" xfId="0" applyFont="1" applyFill="1" applyBorder="1" applyAlignment="1" applyProtection="1">
      <alignment horizontal="center" vertical="center" wrapText="1"/>
      <protection locked="0"/>
    </xf>
    <xf numFmtId="0" fontId="37" fillId="0" borderId="4" xfId="0" applyFont="1" applyBorder="1" applyAlignment="1" applyProtection="1">
      <alignment horizontal="center" vertical="center" wrapText="1"/>
      <protection locked="0"/>
    </xf>
    <xf numFmtId="169" fontId="37" fillId="0" borderId="4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Fill="1" applyBorder="1" applyAlignment="1" applyProtection="1">
      <alignment horizontal="center" vertical="center" wrapText="1"/>
      <protection locked="0"/>
    </xf>
    <xf numFmtId="9" fontId="37" fillId="0" borderId="4" xfId="5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 wrapText="1"/>
    </xf>
    <xf numFmtId="169" fontId="37" fillId="0" borderId="0" xfId="0" applyNumberFormat="1" applyFont="1" applyFill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37" fillId="0" borderId="0" xfId="0" applyFont="1" applyFill="1" applyProtection="1"/>
    <xf numFmtId="169" fontId="37" fillId="0" borderId="0" xfId="0" applyNumberFormat="1" applyFont="1" applyFill="1" applyProtection="1"/>
    <xf numFmtId="0" fontId="37" fillId="0" borderId="0" xfId="0" applyFont="1" applyFill="1"/>
    <xf numFmtId="169" fontId="37" fillId="0" borderId="0" xfId="0" applyNumberFormat="1" applyFont="1" applyFill="1"/>
    <xf numFmtId="0" fontId="37" fillId="0" borderId="0" xfId="0" applyFont="1" applyFill="1" applyAlignment="1" applyProtection="1">
      <alignment wrapText="1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0" fontId="45" fillId="0" borderId="4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5" fillId="0" borderId="4" xfId="0" applyFont="1" applyFill="1" applyBorder="1" applyAlignment="1" applyProtection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0" xfId="0" applyFont="1" applyFill="1" applyAlignment="1" applyProtection="1">
      <alignment horizontal="center" vertical="center"/>
    </xf>
    <xf numFmtId="0" fontId="45" fillId="0" borderId="19" xfId="0" applyFont="1" applyFill="1" applyBorder="1" applyAlignment="1" applyProtection="1">
      <alignment horizontal="center" vertical="center"/>
    </xf>
    <xf numFmtId="0" fontId="4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69" fontId="5" fillId="0" borderId="0" xfId="0" applyNumberFormat="1" applyFont="1" applyFill="1" applyProtection="1"/>
    <xf numFmtId="169" fontId="5" fillId="0" borderId="0" xfId="0" applyNumberFormat="1" applyFont="1" applyFill="1"/>
    <xf numFmtId="0" fontId="46" fillId="0" borderId="0" xfId="0" applyFont="1" applyFill="1" applyAlignment="1" applyProtection="1">
      <alignment horizontal="center" vertical="center" wrapText="1"/>
    </xf>
    <xf numFmtId="0" fontId="46" fillId="0" borderId="4" xfId="0" applyFont="1" applyFill="1" applyBorder="1" applyAlignment="1" applyProtection="1">
      <alignment horizontal="center" vertical="center" wrapText="1"/>
      <protection locked="0"/>
    </xf>
    <xf numFmtId="0" fontId="46" fillId="0" borderId="4" xfId="0" applyFont="1" applyFill="1" applyBorder="1" applyAlignment="1" applyProtection="1">
      <alignment horizontal="center" vertical="center" wrapText="1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center"/>
    </xf>
    <xf numFmtId="0" fontId="37" fillId="0" borderId="4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/>
      <protection locked="0"/>
    </xf>
    <xf numFmtId="169" fontId="37" fillId="0" borderId="4" xfId="0" applyNumberFormat="1" applyFont="1" applyFill="1" applyBorder="1" applyAlignment="1" applyProtection="1">
      <alignment horizontal="center" vertical="center"/>
      <protection locked="0"/>
    </xf>
    <xf numFmtId="169" fontId="37" fillId="0" borderId="4" xfId="2" applyNumberFormat="1" applyFont="1" applyFill="1" applyBorder="1" applyAlignment="1" applyProtection="1">
      <alignment horizontal="center" vertical="center"/>
    </xf>
    <xf numFmtId="169" fontId="37" fillId="0" borderId="4" xfId="2" applyNumberFormat="1" applyFont="1" applyFill="1" applyBorder="1" applyAlignment="1" applyProtection="1">
      <alignment horizontal="center" vertical="center"/>
      <protection locked="0"/>
    </xf>
    <xf numFmtId="1" fontId="37" fillId="0" borderId="4" xfId="2" applyNumberFormat="1" applyFont="1" applyFill="1" applyBorder="1" applyAlignment="1" applyProtection="1">
      <alignment horizontal="center" vertical="center"/>
    </xf>
    <xf numFmtId="10" fontId="37" fillId="0" borderId="4" xfId="5" applyNumberFormat="1" applyFont="1" applyFill="1" applyBorder="1" applyAlignment="1" applyProtection="1">
      <alignment horizontal="center" vertical="center"/>
    </xf>
    <xf numFmtId="2" fontId="37" fillId="0" borderId="4" xfId="2" applyNumberFormat="1" applyFont="1" applyFill="1" applyBorder="1" applyAlignment="1" applyProtection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  <protection locked="0"/>
    </xf>
    <xf numFmtId="169" fontId="40" fillId="0" borderId="4" xfId="2" applyNumberFormat="1" applyFont="1" applyFill="1" applyBorder="1" applyAlignment="1" applyProtection="1">
      <alignment horizontal="center" vertical="center"/>
    </xf>
    <xf numFmtId="170" fontId="37" fillId="0" borderId="4" xfId="2" applyNumberFormat="1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center" vertical="center"/>
      <protection locked="0"/>
    </xf>
    <xf numFmtId="169" fontId="37" fillId="0" borderId="18" xfId="0" applyNumberFormat="1" applyFont="1" applyFill="1" applyBorder="1" applyAlignment="1" applyProtection="1">
      <alignment horizontal="center" vertical="center"/>
      <protection locked="0"/>
    </xf>
    <xf numFmtId="0" fontId="37" fillId="12" borderId="4" xfId="0" applyFont="1" applyFill="1" applyBorder="1" applyAlignment="1" applyProtection="1">
      <alignment horizontal="center" vertical="center"/>
      <protection locked="0"/>
    </xf>
    <xf numFmtId="0" fontId="37" fillId="12" borderId="4" xfId="0" applyFont="1" applyFill="1" applyBorder="1" applyAlignment="1">
      <alignment horizontal="center" vertical="center"/>
    </xf>
    <xf numFmtId="169" fontId="37" fillId="12" borderId="4" xfId="0" applyNumberFormat="1" applyFont="1" applyFill="1" applyBorder="1" applyAlignment="1" applyProtection="1">
      <alignment horizontal="center" vertical="center"/>
      <protection locked="0"/>
    </xf>
    <xf numFmtId="169" fontId="37" fillId="12" borderId="4" xfId="2" applyNumberFormat="1" applyFont="1" applyFill="1" applyBorder="1" applyAlignment="1" applyProtection="1">
      <alignment horizontal="center" vertical="center"/>
    </xf>
    <xf numFmtId="169" fontId="37" fillId="12" borderId="4" xfId="2" applyNumberFormat="1" applyFont="1" applyFill="1" applyBorder="1" applyAlignment="1" applyProtection="1">
      <alignment horizontal="center" vertical="center"/>
      <protection locked="0"/>
    </xf>
    <xf numFmtId="1" fontId="37" fillId="12" borderId="4" xfId="2" applyNumberFormat="1" applyFont="1" applyFill="1" applyBorder="1" applyAlignment="1" applyProtection="1">
      <alignment horizontal="center" vertical="center"/>
    </xf>
    <xf numFmtId="10" fontId="37" fillId="12" borderId="4" xfId="5" applyNumberFormat="1" applyFont="1" applyFill="1" applyBorder="1" applyAlignment="1" applyProtection="1">
      <alignment horizontal="center" vertical="center"/>
    </xf>
    <xf numFmtId="2" fontId="37" fillId="12" borderId="4" xfId="2" applyNumberFormat="1" applyFont="1" applyFill="1" applyBorder="1" applyAlignment="1" applyProtection="1">
      <alignment horizontal="center" vertical="center"/>
    </xf>
    <xf numFmtId="170" fontId="37" fillId="12" borderId="4" xfId="2" applyNumberFormat="1" applyFont="1" applyFill="1" applyBorder="1" applyAlignment="1" applyProtection="1">
      <alignment horizontal="center" vertical="center"/>
      <protection locked="0"/>
    </xf>
    <xf numFmtId="0" fontId="37" fillId="0" borderId="4" xfId="0" applyFont="1" applyFill="1" applyBorder="1" applyAlignment="1" applyProtection="1">
      <alignment horizontal="center" vertical="center"/>
    </xf>
    <xf numFmtId="0" fontId="37" fillId="0" borderId="4" xfId="0" applyFont="1" applyBorder="1" applyAlignment="1" applyProtection="1">
      <alignment horizontal="center" vertical="center"/>
      <protection locked="0"/>
    </xf>
    <xf numFmtId="169" fontId="37" fillId="0" borderId="4" xfId="0" applyNumberFormat="1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>
      <alignment horizontal="center" vertical="center"/>
    </xf>
    <xf numFmtId="169" fontId="40" fillId="0" borderId="4" xfId="0" applyNumberFormat="1" applyFont="1" applyFill="1" applyBorder="1" applyAlignment="1" applyProtection="1">
      <alignment horizontal="center" vertical="center"/>
      <protection locked="0"/>
    </xf>
    <xf numFmtId="0" fontId="37" fillId="0" borderId="21" xfId="0" applyFont="1" applyFill="1" applyBorder="1" applyAlignment="1" applyProtection="1">
      <alignment horizontal="center" vertical="center" wrapText="1"/>
      <protection locked="0"/>
    </xf>
    <xf numFmtId="169" fontId="37" fillId="0" borderId="21" xfId="2" applyNumberFormat="1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center" vertical="center"/>
    </xf>
    <xf numFmtId="0" fontId="37" fillId="0" borderId="21" xfId="0" applyFont="1" applyFill="1" applyBorder="1" applyAlignment="1" applyProtection="1">
      <alignment horizontal="center" vertical="center"/>
    </xf>
    <xf numFmtId="169" fontId="40" fillId="0" borderId="21" xfId="0" applyNumberFormat="1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169" fontId="40" fillId="0" borderId="0" xfId="2" applyNumberFormat="1" applyFont="1" applyFill="1" applyBorder="1" applyAlignment="1" applyProtection="1">
      <alignment horizontal="center" vertical="center"/>
    </xf>
    <xf numFmtId="169" fontId="37" fillId="0" borderId="0" xfId="2" applyNumberFormat="1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center" vertical="center"/>
    </xf>
    <xf numFmtId="169" fontId="37" fillId="0" borderId="0" xfId="0" applyNumberFormat="1" applyFont="1" applyFill="1" applyAlignment="1" applyProtection="1">
      <alignment horizontal="center" vertical="center"/>
    </xf>
    <xf numFmtId="169" fontId="37" fillId="0" borderId="19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vertical="center"/>
    </xf>
    <xf numFmtId="43" fontId="37" fillId="0" borderId="0" xfId="2" applyFont="1" applyFill="1" applyProtection="1"/>
    <xf numFmtId="0" fontId="5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5" fillId="12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69" fontId="5" fillId="0" borderId="4" xfId="2" applyNumberFormat="1" applyFont="1" applyFill="1" applyBorder="1" applyAlignment="1" applyProtection="1">
      <alignment horizontal="center" vertical="center"/>
    </xf>
    <xf numFmtId="169" fontId="16" fillId="0" borderId="4" xfId="2" applyNumberFormat="1" applyFont="1" applyFill="1" applyBorder="1" applyAlignment="1" applyProtection="1">
      <alignment horizontal="center" vertical="center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169" fontId="5" fillId="12" borderId="4" xfId="2" applyNumberFormat="1" applyFont="1" applyFill="1" applyBorder="1" applyAlignment="1" applyProtection="1">
      <alignment horizontal="center" vertical="center"/>
    </xf>
    <xf numFmtId="169" fontId="5" fillId="0" borderId="4" xfId="0" applyNumberFormat="1" applyFont="1" applyFill="1" applyBorder="1" applyAlignment="1" applyProtection="1">
      <alignment horizontal="center" vertical="center" wrapText="1"/>
    </xf>
    <xf numFmtId="169" fontId="16" fillId="0" borderId="21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169" fontId="16" fillId="0" borderId="0" xfId="2" applyNumberFormat="1" applyFont="1" applyFill="1" applyBorder="1" applyAlignment="1" applyProtection="1">
      <alignment horizontal="center" vertical="center"/>
    </xf>
    <xf numFmtId="169" fontId="5" fillId="0" borderId="19" xfId="0" applyNumberFormat="1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 applyProtection="1">
      <alignment horizontal="center" vertical="center" wrapText="1"/>
    </xf>
    <xf numFmtId="0" fontId="46" fillId="5" borderId="4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 applyProtection="1">
      <alignment horizontal="center" vertical="center" wrapText="1"/>
    </xf>
    <xf numFmtId="1" fontId="16" fillId="0" borderId="0" xfId="2" applyNumberFormat="1" applyFont="1" applyFill="1" applyBorder="1" applyAlignment="1" applyProtection="1">
      <alignment horizontal="center" vertical="center"/>
    </xf>
    <xf numFmtId="169" fontId="16" fillId="0" borderId="7" xfId="2" applyNumberFormat="1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/>
    <xf numFmtId="0" fontId="10" fillId="0" borderId="0" xfId="0" applyFont="1" applyFill="1" applyAlignment="1" applyProtection="1">
      <alignment horizontal="center" vertical="center"/>
    </xf>
    <xf numFmtId="169" fontId="10" fillId="0" borderId="4" xfId="2" applyNumberFormat="1" applyFont="1" applyFill="1" applyBorder="1" applyAlignment="1" applyProtection="1">
      <alignment horizontal="center" vertical="center"/>
    </xf>
    <xf numFmtId="169" fontId="10" fillId="5" borderId="4" xfId="2" applyNumberFormat="1" applyFont="1" applyFill="1" applyBorder="1" applyAlignment="1" applyProtection="1">
      <alignment horizontal="center" vertical="center"/>
    </xf>
    <xf numFmtId="1" fontId="11" fillId="0" borderId="0" xfId="2" applyNumberFormat="1" applyFont="1" applyFill="1" applyBorder="1" applyAlignment="1" applyProtection="1">
      <alignment horizontal="center" vertical="center"/>
    </xf>
    <xf numFmtId="169" fontId="11" fillId="0" borderId="7" xfId="2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169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40" fillId="0" borderId="0" xfId="0" applyFont="1" applyFill="1" applyAlignment="1" applyProtection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</xf>
    <xf numFmtId="43" fontId="40" fillId="0" borderId="4" xfId="2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center" vertical="center"/>
    </xf>
    <xf numFmtId="169" fontId="37" fillId="0" borderId="0" xfId="0" applyNumberFormat="1" applyFont="1" applyFill="1" applyBorder="1" applyAlignment="1" applyProtection="1">
      <alignment horizontal="center" vertical="center"/>
      <protection locked="0"/>
    </xf>
    <xf numFmtId="169" fontId="37" fillId="0" borderId="0" xfId="2" applyNumberFormat="1" applyFont="1" applyFill="1" applyBorder="1" applyAlignment="1" applyProtection="1">
      <alignment horizontal="center" vertical="center"/>
      <protection locked="0"/>
    </xf>
    <xf numFmtId="1" fontId="37" fillId="0" borderId="0" xfId="2" applyNumberFormat="1" applyFont="1" applyFill="1" applyBorder="1" applyAlignment="1" applyProtection="1">
      <alignment horizontal="center" vertical="center"/>
    </xf>
    <xf numFmtId="10" fontId="37" fillId="0" borderId="0" xfId="5" applyNumberFormat="1" applyFont="1" applyFill="1" applyBorder="1" applyAlignment="1" applyProtection="1">
      <alignment horizontal="center" vertical="center"/>
    </xf>
    <xf numFmtId="2" fontId="37" fillId="0" borderId="0" xfId="2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1" fontId="40" fillId="0" borderId="0" xfId="2" applyNumberFormat="1" applyFont="1" applyFill="1" applyBorder="1" applyAlignment="1" applyProtection="1">
      <alignment horizontal="center" vertical="center"/>
    </xf>
    <xf numFmtId="169" fontId="40" fillId="0" borderId="7" xfId="2" applyNumberFormat="1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vertical="center"/>
    </xf>
    <xf numFmtId="0" fontId="40" fillId="0" borderId="20" xfId="0" applyFont="1" applyBorder="1" applyAlignment="1" applyProtection="1">
      <alignment vertical="center"/>
    </xf>
    <xf numFmtId="0" fontId="40" fillId="0" borderId="0" xfId="0" applyFont="1" applyFill="1" applyAlignment="1" applyProtection="1"/>
    <xf numFmtId="169" fontId="5" fillId="0" borderId="0" xfId="2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left" vertical="center" wrapText="1"/>
    </xf>
    <xf numFmtId="0" fontId="37" fillId="0" borderId="4" xfId="0" applyFont="1" applyFill="1" applyBorder="1" applyAlignment="1" applyProtection="1">
      <alignment horizontal="left" vertical="center" wrapText="1"/>
    </xf>
    <xf numFmtId="0" fontId="40" fillId="0" borderId="4" xfId="0" applyFont="1" applyFill="1" applyBorder="1" applyAlignment="1" applyProtection="1">
      <alignment horizontal="left" vertical="center" wrapText="1"/>
    </xf>
    <xf numFmtId="0" fontId="37" fillId="0" borderId="4" xfId="0" applyFont="1" applyFill="1" applyBorder="1" applyAlignment="1" applyProtection="1">
      <alignment horizontal="left" vertical="center" wrapText="1"/>
      <protection locked="0"/>
    </xf>
    <xf numFmtId="0" fontId="37" fillId="0" borderId="4" xfId="0" applyFont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19" xfId="0" applyFont="1" applyFill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vertical="center" wrapText="1"/>
    </xf>
    <xf numFmtId="0" fontId="10" fillId="0" borderId="4" xfId="0" applyFont="1" applyFill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vertical="center" wrapText="1"/>
    </xf>
    <xf numFmtId="0" fontId="37" fillId="0" borderId="4" xfId="0" applyFont="1" applyFill="1" applyBorder="1" applyAlignment="1" applyProtection="1">
      <alignment vertical="center"/>
    </xf>
    <xf numFmtId="0" fontId="37" fillId="0" borderId="4" xfId="0" applyFont="1" applyFill="1" applyBorder="1" applyAlignment="1" applyProtection="1">
      <alignment horizontal="left" vertical="center"/>
      <protection locked="0"/>
    </xf>
    <xf numFmtId="0" fontId="37" fillId="0" borderId="4" xfId="0" applyFont="1" applyBorder="1" applyAlignment="1">
      <alignment vertical="center"/>
    </xf>
    <xf numFmtId="169" fontId="37" fillId="0" borderId="4" xfId="0" applyNumberFormat="1" applyFont="1" applyFill="1" applyBorder="1" applyAlignment="1" applyProtection="1">
      <alignment horizontal="right" vertical="center"/>
      <protection locked="0"/>
    </xf>
    <xf numFmtId="169" fontId="37" fillId="0" borderId="4" xfId="2" applyNumberFormat="1" applyFont="1" applyFill="1" applyBorder="1" applyAlignment="1" applyProtection="1">
      <alignment horizontal="right" vertical="center"/>
    </xf>
    <xf numFmtId="169" fontId="37" fillId="0" borderId="4" xfId="2" applyNumberFormat="1" applyFont="1" applyFill="1" applyBorder="1" applyAlignment="1" applyProtection="1">
      <alignment horizontal="right" vertical="center"/>
      <protection locked="0"/>
    </xf>
    <xf numFmtId="1" fontId="37" fillId="0" borderId="4" xfId="2" applyNumberFormat="1" applyFont="1" applyFill="1" applyBorder="1" applyAlignment="1" applyProtection="1">
      <alignment horizontal="right" vertical="center"/>
    </xf>
    <xf numFmtId="10" fontId="37" fillId="0" borderId="4" xfId="5" applyNumberFormat="1" applyFont="1" applyFill="1" applyBorder="1" applyAlignment="1" applyProtection="1">
      <alignment horizontal="right" vertical="center"/>
    </xf>
    <xf numFmtId="2" fontId="37" fillId="0" borderId="4" xfId="2" applyNumberFormat="1" applyFont="1" applyFill="1" applyBorder="1" applyAlignment="1" applyProtection="1">
      <alignment horizontal="right" vertical="center"/>
    </xf>
    <xf numFmtId="0" fontId="37" fillId="0" borderId="4" xfId="0" applyFont="1" applyFill="1" applyBorder="1" applyAlignment="1" applyProtection="1">
      <alignment vertical="center"/>
      <protection locked="0"/>
    </xf>
    <xf numFmtId="0" fontId="37" fillId="0" borderId="4" xfId="0" applyFont="1" applyFill="1" applyBorder="1" applyAlignment="1" applyProtection="1">
      <alignment horizontal="left" vertical="center"/>
    </xf>
    <xf numFmtId="0" fontId="37" fillId="0" borderId="17" xfId="0" applyFont="1" applyFill="1" applyBorder="1" applyAlignment="1" applyProtection="1">
      <alignment horizontal="left" vertical="center"/>
    </xf>
    <xf numFmtId="0" fontId="37" fillId="0" borderId="17" xfId="0" applyFont="1" applyBorder="1" applyAlignment="1">
      <alignment vertical="center"/>
    </xf>
    <xf numFmtId="169" fontId="40" fillId="0" borderId="4" xfId="2" applyNumberFormat="1" applyFont="1" applyFill="1" applyBorder="1" applyAlignment="1" applyProtection="1">
      <alignment horizontal="right" vertical="center"/>
    </xf>
    <xf numFmtId="0" fontId="37" fillId="0" borderId="19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</xf>
    <xf numFmtId="0" fontId="10" fillId="12" borderId="4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/>
    </xf>
    <xf numFmtId="0" fontId="27" fillId="0" borderId="2" xfId="0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3" xfId="0" applyFont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2" fontId="2" fillId="0" borderId="16" xfId="0" applyNumberFormat="1" applyFont="1" applyBorder="1" applyAlignment="1" applyProtection="1">
      <alignment horizontal="center" vertical="center" wrapText="1"/>
    </xf>
    <xf numFmtId="2" fontId="2" fillId="0" borderId="17" xfId="0" applyNumberFormat="1" applyFont="1" applyBorder="1" applyAlignment="1" applyProtection="1">
      <alignment horizontal="center" vertical="center" wrapText="1"/>
    </xf>
    <xf numFmtId="2" fontId="2" fillId="0" borderId="18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</xf>
    <xf numFmtId="0" fontId="8" fillId="10" borderId="17" xfId="0" applyFont="1" applyFill="1" applyBorder="1" applyAlignment="1" applyProtection="1">
      <alignment horizontal="center" vertical="center" wrapText="1"/>
    </xf>
    <xf numFmtId="0" fontId="8" fillId="10" borderId="18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8" fillId="1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40" fillId="0" borderId="3" xfId="0" applyFont="1" applyFill="1" applyBorder="1" applyAlignment="1" applyProtection="1">
      <alignment horizontal="center" vertical="center" wrapText="1"/>
    </xf>
    <xf numFmtId="0" fontId="40" fillId="0" borderId="2" xfId="0" applyFont="1" applyFill="1" applyBorder="1" applyAlignment="1" applyProtection="1">
      <alignment horizontal="center" vertical="center" wrapText="1"/>
    </xf>
    <xf numFmtId="0" fontId="44" fillId="0" borderId="3" xfId="0" applyFont="1" applyFill="1" applyBorder="1" applyAlignment="1" applyProtection="1">
      <alignment horizontal="center" vertical="center"/>
    </xf>
    <xf numFmtId="0" fontId="44" fillId="0" borderId="2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 wrapText="1"/>
    </xf>
    <xf numFmtId="0" fontId="40" fillId="0" borderId="8" xfId="0" applyFont="1" applyFill="1" applyBorder="1" applyAlignment="1" applyProtection="1">
      <alignment horizontal="center" vertical="center" wrapText="1"/>
    </xf>
    <xf numFmtId="0" fontId="40" fillId="0" borderId="5" xfId="0" applyFont="1" applyFill="1" applyBorder="1" applyAlignment="1" applyProtection="1">
      <alignment horizontal="center" vertical="center" wrapText="1"/>
    </xf>
    <xf numFmtId="0" fontId="40" fillId="0" borderId="9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42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 wrapText="1"/>
    </xf>
    <xf numFmtId="0" fontId="40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10" borderId="4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0" fillId="0" borderId="16" xfId="0" applyFont="1" applyFill="1" applyBorder="1" applyAlignment="1" applyProtection="1">
      <alignment horizontal="center" vertical="center"/>
      <protection locked="0"/>
    </xf>
    <xf numFmtId="0" fontId="40" fillId="0" borderId="17" xfId="0" applyFont="1" applyFill="1" applyBorder="1" applyAlignment="1" applyProtection="1">
      <alignment horizontal="center" vertical="center"/>
      <protection locked="0"/>
    </xf>
    <xf numFmtId="0" fontId="40" fillId="0" borderId="18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horizontal="center" vertical="center"/>
    </xf>
    <xf numFmtId="0" fontId="1" fillId="10" borderId="17" xfId="0" applyFont="1" applyFill="1" applyBorder="1" applyAlignment="1" applyProtection="1">
      <alignment horizontal="center" vertical="center"/>
    </xf>
    <xf numFmtId="0" fontId="1" fillId="10" borderId="18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11" borderId="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40" fillId="0" borderId="4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41" fillId="0" borderId="0" xfId="0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</cellXfs>
  <cellStyles count="7">
    <cellStyle name="Euro" xfId="1" xr:uid="{00000000-0005-0000-0000-000000000000}"/>
    <cellStyle name="Millares" xfId="2" builtinId="3"/>
    <cellStyle name="Millares_Calculo Sueldo 2002 " xfId="3" xr:uid="{00000000-0005-0000-0000-000002000000}"/>
    <cellStyle name="Normal" xfId="0" builtinId="0"/>
    <cellStyle name="Normal 2" xfId="6" xr:uid="{00000000-0005-0000-0000-000004000000}"/>
    <cellStyle name="Normal_PPHON" xfId="4" xr:uid="{00000000-0005-0000-0000-000005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246531</xdr:colOff>
      <xdr:row>1</xdr:row>
      <xdr:rowOff>22412</xdr:rowOff>
    </xdr:from>
    <xdr:to>
      <xdr:col>2</xdr:col>
      <xdr:colOff>1972236</xdr:colOff>
      <xdr:row>10</xdr:row>
      <xdr:rowOff>38239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0DBC4F-93D0-4695-868E-7C9891B9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3" y="179294"/>
          <a:ext cx="1725705" cy="160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98534</xdr:colOff>
      <xdr:row>0</xdr:row>
      <xdr:rowOff>0</xdr:rowOff>
    </xdr:from>
    <xdr:to>
      <xdr:col>2</xdr:col>
      <xdr:colOff>1824239</xdr:colOff>
      <xdr:row>6</xdr:row>
      <xdr:rowOff>245463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D1B92-7B01-49F6-8C00-C866E3BC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948" y="0"/>
          <a:ext cx="1725705" cy="1607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142328</xdr:colOff>
      <xdr:row>1</xdr:row>
      <xdr:rowOff>0</xdr:rowOff>
    </xdr:from>
    <xdr:to>
      <xdr:col>2</xdr:col>
      <xdr:colOff>1488966</xdr:colOff>
      <xdr:row>6</xdr:row>
      <xdr:rowOff>271997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59" y="0"/>
          <a:ext cx="1346638" cy="1254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57727</xdr:rowOff>
    </xdr:from>
    <xdr:to>
      <xdr:col>2</xdr:col>
      <xdr:colOff>1725705</xdr:colOff>
      <xdr:row>8</xdr:row>
      <xdr:rowOff>338118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026EF-45FA-40E8-AD66-380F6142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38727"/>
          <a:ext cx="1725705" cy="1630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354159</xdr:colOff>
      <xdr:row>5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3BDF-7CF6-4482-B86C-1400EDF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00185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30</xdr:row>
      <xdr:rowOff>171450</xdr:rowOff>
    </xdr:from>
    <xdr:to>
      <xdr:col>1</xdr:col>
      <xdr:colOff>354159</xdr:colOff>
      <xdr:row>43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29C9A-40D6-4F3C-93E5-19520E80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010400"/>
          <a:ext cx="1001859" cy="1028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187842</xdr:colOff>
      <xdr:row>1</xdr:row>
      <xdr:rowOff>74651</xdr:rowOff>
    </xdr:from>
    <xdr:to>
      <xdr:col>2</xdr:col>
      <xdr:colOff>1375067</xdr:colOff>
      <xdr:row>5</xdr:row>
      <xdr:rowOff>299041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168" y="251860"/>
          <a:ext cx="1187225" cy="11215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283972</xdr:colOff>
      <xdr:row>1</xdr:row>
      <xdr:rowOff>120432</xdr:rowOff>
    </xdr:from>
    <xdr:to>
      <xdr:col>2</xdr:col>
      <xdr:colOff>1462360</xdr:colOff>
      <xdr:row>6</xdr:row>
      <xdr:rowOff>164224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644" y="306553"/>
          <a:ext cx="1178388" cy="11167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1000-000002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1000-000003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1000-000004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1000-000005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00000000-0008-0000-1000-000006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00000000-0008-0000-1000-0000070C0000}"/>
            </a:ext>
          </a:extLst>
        </xdr:cNvPr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id="{00000000-0008-0000-1000-000008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1000-000009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1000-00000A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>
          <a:extLst>
            <a:ext uri="{FF2B5EF4-FFF2-40B4-BE49-F238E27FC236}">
              <a16:creationId xmlns:a16="http://schemas.microsoft.com/office/drawing/2014/main" id="{00000000-0008-0000-1000-00000B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1000-00000C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1000-00000D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>
          <a:extLst>
            <a:ext uri="{FF2B5EF4-FFF2-40B4-BE49-F238E27FC236}">
              <a16:creationId xmlns:a16="http://schemas.microsoft.com/office/drawing/2014/main" id="{00000000-0008-0000-1000-00000E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1000-00000F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1000-000010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00000000-0008-0000-1000-000011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1000-000012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>
          <a:extLst>
            <a:ext uri="{FF2B5EF4-FFF2-40B4-BE49-F238E27FC236}">
              <a16:creationId xmlns:a16="http://schemas.microsoft.com/office/drawing/2014/main" id="{00000000-0008-0000-1000-000013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>
          <a:extLst>
            <a:ext uri="{FF2B5EF4-FFF2-40B4-BE49-F238E27FC236}">
              <a16:creationId xmlns:a16="http://schemas.microsoft.com/office/drawing/2014/main" id="{00000000-0008-0000-1000-000014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>
          <a:extLst>
            <a:ext uri="{FF2B5EF4-FFF2-40B4-BE49-F238E27FC236}">
              <a16:creationId xmlns:a16="http://schemas.microsoft.com/office/drawing/2014/main" id="{00000000-0008-0000-1000-000015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1000-0000160C0000}"/>
            </a:ext>
          </a:extLst>
        </xdr:cNvPr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>
          <a:extLst>
            <a:ext uri="{FF2B5EF4-FFF2-40B4-BE49-F238E27FC236}">
              <a16:creationId xmlns:a16="http://schemas.microsoft.com/office/drawing/2014/main" id="{00000000-0008-0000-1000-0000170C0000}"/>
            </a:ext>
          </a:extLst>
        </xdr:cNvPr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B3" sqref="B3"/>
    </sheetView>
  </sheetViews>
  <sheetFormatPr baseColWidth="10" defaultColWidth="11.453125" defaultRowHeight="12.5" x14ac:dyDescent="0.25"/>
  <cols>
    <col min="1" max="1" width="11.453125" style="7"/>
    <col min="2" max="4" width="13.7265625" style="7" customWidth="1"/>
    <col min="5" max="5" width="11.453125" style="7"/>
    <col min="6" max="7" width="13.7265625" style="7" customWidth="1"/>
    <col min="8" max="16384" width="11.453125" style="7"/>
  </cols>
  <sheetData>
    <row r="2" spans="1:7" ht="17.5" x14ac:dyDescent="0.35">
      <c r="B2" s="62" t="s">
        <v>98</v>
      </c>
      <c r="C2" s="63"/>
      <c r="D2" s="63"/>
      <c r="E2" s="63"/>
      <c r="F2" s="63"/>
      <c r="G2" s="63"/>
    </row>
    <row r="3" spans="1:7" ht="13" x14ac:dyDescent="0.3">
      <c r="B3" s="64" t="s">
        <v>92</v>
      </c>
      <c r="C3" s="63"/>
      <c r="D3" s="63"/>
      <c r="E3" s="63"/>
      <c r="F3" s="63"/>
      <c r="G3" s="63"/>
    </row>
    <row r="4" spans="1:7" ht="13" x14ac:dyDescent="0.3">
      <c r="B4" s="75" t="s">
        <v>95</v>
      </c>
      <c r="C4" s="63"/>
      <c r="D4" s="63"/>
      <c r="E4" s="63"/>
      <c r="F4" s="63"/>
      <c r="G4" s="63"/>
    </row>
    <row r="5" spans="1:7" ht="13" x14ac:dyDescent="0.3">
      <c r="B5" s="63"/>
      <c r="C5" s="63"/>
      <c r="D5" s="63"/>
      <c r="E5" s="63"/>
      <c r="F5" s="63"/>
      <c r="G5" s="63"/>
    </row>
    <row r="6" spans="1:7" ht="13" x14ac:dyDescent="0.3">
      <c r="B6" s="63"/>
      <c r="C6" s="63"/>
      <c r="D6" s="63"/>
      <c r="E6" s="63"/>
      <c r="F6" s="63"/>
      <c r="G6" s="63"/>
    </row>
    <row r="7" spans="1:7" ht="18.75" customHeight="1" x14ac:dyDescent="0.3">
      <c r="B7" s="508" t="s">
        <v>32</v>
      </c>
      <c r="C7" s="508"/>
      <c r="D7" s="508"/>
      <c r="E7" s="63"/>
      <c r="F7" s="509" t="s">
        <v>83</v>
      </c>
      <c r="G7" s="510"/>
    </row>
    <row r="8" spans="1:7" ht="14.25" customHeight="1" x14ac:dyDescent="0.3">
      <c r="B8" s="511" t="s">
        <v>31</v>
      </c>
      <c r="C8" s="511"/>
      <c r="D8" s="511"/>
      <c r="E8" s="63"/>
      <c r="F8" s="512" t="s">
        <v>84</v>
      </c>
      <c r="G8" s="513"/>
    </row>
    <row r="9" spans="1:7" ht="8.25" customHeight="1" x14ac:dyDescent="0.3">
      <c r="B9" s="505"/>
      <c r="C9" s="505"/>
      <c r="D9" s="505"/>
      <c r="E9" s="63"/>
      <c r="F9" s="506"/>
      <c r="G9" s="507"/>
    </row>
    <row r="10" spans="1:7" ht="16.5" customHeight="1" x14ac:dyDescent="0.3">
      <c r="B10" s="65" t="s">
        <v>33</v>
      </c>
      <c r="C10" s="65" t="s">
        <v>35</v>
      </c>
      <c r="D10" s="65" t="s">
        <v>29</v>
      </c>
      <c r="E10" s="63"/>
      <c r="F10" s="65" t="s">
        <v>38</v>
      </c>
      <c r="G10" s="65" t="s">
        <v>85</v>
      </c>
    </row>
    <row r="11" spans="1:7" ht="13" x14ac:dyDescent="0.3">
      <c r="A11" s="2"/>
      <c r="B11" s="65" t="s">
        <v>34</v>
      </c>
      <c r="C11" s="65" t="s">
        <v>36</v>
      </c>
      <c r="D11" s="65" t="s">
        <v>37</v>
      </c>
      <c r="E11" s="63"/>
      <c r="F11" s="65"/>
      <c r="G11" s="65" t="s">
        <v>86</v>
      </c>
    </row>
    <row r="12" spans="1:7" ht="13" x14ac:dyDescent="0.3">
      <c r="A12" s="3"/>
      <c r="B12" s="66"/>
      <c r="C12" s="66"/>
      <c r="D12" s="66"/>
      <c r="E12" s="67"/>
      <c r="F12" s="66"/>
      <c r="G12" s="66"/>
    </row>
    <row r="13" spans="1:7" ht="16" customHeight="1" x14ac:dyDescent="0.3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6" customHeight="1" x14ac:dyDescent="0.3">
      <c r="A14" s="1"/>
      <c r="B14" s="76">
        <v>578.53</v>
      </c>
      <c r="C14" s="76">
        <v>11.11</v>
      </c>
      <c r="D14" s="77">
        <v>6.4000000000000001E-2</v>
      </c>
      <c r="E14" s="70"/>
      <c r="F14" s="76">
        <v>1768.97</v>
      </c>
      <c r="G14" s="76">
        <v>406.83</v>
      </c>
    </row>
    <row r="15" spans="1:7" ht="16" customHeight="1" x14ac:dyDescent="0.3">
      <c r="A15" s="1"/>
      <c r="B15" s="76">
        <v>4910.1899999999996</v>
      </c>
      <c r="C15" s="76">
        <v>288.33</v>
      </c>
      <c r="D15" s="77">
        <v>0.10879999999999999</v>
      </c>
      <c r="E15" s="70"/>
      <c r="F15" s="76">
        <v>2653.39</v>
      </c>
      <c r="G15" s="76">
        <v>406.62</v>
      </c>
    </row>
    <row r="16" spans="1:7" ht="16" customHeight="1" x14ac:dyDescent="0.3">
      <c r="A16" s="1"/>
      <c r="B16" s="76">
        <v>8629.2099999999991</v>
      </c>
      <c r="C16" s="76">
        <v>692.96</v>
      </c>
      <c r="D16" s="77">
        <v>0.16</v>
      </c>
      <c r="E16" s="70"/>
      <c r="F16" s="76">
        <v>3472.85</v>
      </c>
      <c r="G16" s="76">
        <v>392.77</v>
      </c>
    </row>
    <row r="17" spans="1:7" ht="16" customHeight="1" x14ac:dyDescent="0.3">
      <c r="A17" s="1"/>
      <c r="B17" s="76">
        <v>10031.08</v>
      </c>
      <c r="C17" s="76">
        <v>917.26</v>
      </c>
      <c r="D17" s="77">
        <v>0.1792</v>
      </c>
      <c r="E17" s="70"/>
      <c r="F17" s="76">
        <v>3537.88</v>
      </c>
      <c r="G17" s="76">
        <v>382.46</v>
      </c>
    </row>
    <row r="18" spans="1:7" ht="16" customHeight="1" x14ac:dyDescent="0.3">
      <c r="A18" s="1"/>
      <c r="B18" s="76">
        <v>12009.95</v>
      </c>
      <c r="C18" s="76">
        <v>1271.8699999999999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6" customHeight="1" x14ac:dyDescent="0.3">
      <c r="A19" s="1"/>
      <c r="B19" s="76">
        <v>24222.32</v>
      </c>
      <c r="C19" s="76">
        <v>3880.44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6" customHeight="1" x14ac:dyDescent="0.3">
      <c r="A20" s="1"/>
      <c r="B20" s="76">
        <v>38177.699999999997</v>
      </c>
      <c r="C20" s="76">
        <v>7162.74</v>
      </c>
      <c r="D20" s="77">
        <v>0.3</v>
      </c>
      <c r="E20" s="63"/>
      <c r="F20" s="76">
        <v>5335.43</v>
      </c>
      <c r="G20" s="76">
        <v>294.63</v>
      </c>
    </row>
    <row r="21" spans="1:7" ht="13" x14ac:dyDescent="0.3">
      <c r="A21" s="1"/>
      <c r="B21" s="76">
        <v>72887.509999999995</v>
      </c>
      <c r="C21" s="76">
        <v>17575.689999999999</v>
      </c>
      <c r="D21" s="77">
        <v>0.32</v>
      </c>
      <c r="E21" s="63"/>
      <c r="F21" s="76">
        <v>6224.68</v>
      </c>
      <c r="G21" s="76">
        <v>253.54</v>
      </c>
    </row>
    <row r="22" spans="1:7" ht="15" customHeight="1" x14ac:dyDescent="0.3">
      <c r="A22" s="1"/>
      <c r="B22" s="76">
        <v>97183.34</v>
      </c>
      <c r="C22" s="76">
        <v>25350.35</v>
      </c>
      <c r="D22" s="77">
        <v>0.34</v>
      </c>
      <c r="E22" s="63"/>
      <c r="F22" s="78">
        <v>7113.91</v>
      </c>
      <c r="G22" s="78">
        <v>217.61</v>
      </c>
    </row>
    <row r="23" spans="1:7" ht="13" x14ac:dyDescent="0.3">
      <c r="B23" s="76">
        <v>291550.01</v>
      </c>
      <c r="C23" s="76">
        <v>91435.02</v>
      </c>
      <c r="D23" s="77">
        <v>0.35</v>
      </c>
      <c r="E23" s="63"/>
      <c r="F23" s="78">
        <v>7382.34</v>
      </c>
      <c r="G23" s="78">
        <v>0</v>
      </c>
    </row>
    <row r="24" spans="1:7" ht="13" x14ac:dyDescent="0.3">
      <c r="B24" s="71"/>
      <c r="C24" s="71"/>
      <c r="D24" s="72"/>
      <c r="E24" s="63"/>
      <c r="F24" s="73"/>
      <c r="G24" s="73"/>
    </row>
    <row r="25" spans="1:7" ht="13" x14ac:dyDescent="0.3">
      <c r="E25" s="63"/>
      <c r="F25" s="63"/>
      <c r="G25" s="63"/>
    </row>
    <row r="26" spans="1:7" ht="13" x14ac:dyDescent="0.3">
      <c r="B26" s="63"/>
      <c r="C26" s="63"/>
      <c r="D26" s="63"/>
      <c r="E26" s="63"/>
      <c r="F26" s="63"/>
      <c r="G26" s="63"/>
    </row>
    <row r="27" spans="1:7" ht="13" x14ac:dyDescent="0.3">
      <c r="B27" s="63"/>
      <c r="C27" s="63"/>
      <c r="D27" s="63"/>
      <c r="E27" s="63"/>
      <c r="F27" s="63"/>
      <c r="G27" s="63"/>
    </row>
    <row r="28" spans="1:7" ht="13" x14ac:dyDescent="0.3">
      <c r="C28" s="63"/>
      <c r="D28" s="63"/>
      <c r="E28" s="63"/>
      <c r="F28" s="63"/>
      <c r="G28" s="63"/>
    </row>
    <row r="29" spans="1:7" ht="13" x14ac:dyDescent="0.3">
      <c r="C29" s="63"/>
      <c r="D29" s="63"/>
      <c r="E29" s="63"/>
      <c r="F29" s="63"/>
      <c r="G29" s="63"/>
    </row>
    <row r="30" spans="1:7" ht="13" x14ac:dyDescent="0.3">
      <c r="C30" s="63"/>
      <c r="D30" s="63"/>
      <c r="E30" s="63"/>
      <c r="F30" s="63"/>
      <c r="G30" s="63"/>
    </row>
    <row r="31" spans="1:7" ht="13" x14ac:dyDescent="0.3">
      <c r="C31" s="63"/>
      <c r="D31" s="63"/>
      <c r="E31" s="63"/>
      <c r="F31" s="63"/>
      <c r="G31" s="63"/>
    </row>
    <row r="32" spans="1:7" ht="13" x14ac:dyDescent="0.3">
      <c r="B32" s="63"/>
      <c r="C32" s="63"/>
      <c r="D32" s="63"/>
      <c r="E32" s="63"/>
      <c r="F32" s="63"/>
      <c r="G32" s="63"/>
    </row>
    <row r="33" spans="2:7" ht="13" x14ac:dyDescent="0.3">
      <c r="B33" s="64" t="s">
        <v>41</v>
      </c>
      <c r="C33" s="63"/>
      <c r="D33" s="63"/>
    </row>
    <row r="34" spans="2:7" ht="15" x14ac:dyDescent="0.3">
      <c r="B34" s="74" t="s">
        <v>96</v>
      </c>
      <c r="C34" s="63"/>
      <c r="D34" s="63"/>
    </row>
    <row r="35" spans="2:7" ht="13" x14ac:dyDescent="0.3">
      <c r="B35" s="79" t="s">
        <v>71</v>
      </c>
      <c r="C35" s="63"/>
      <c r="D35" s="63"/>
    </row>
    <row r="44" spans="2:7" ht="17.25" customHeight="1" x14ac:dyDescent="0.3">
      <c r="B44" s="61" t="s">
        <v>69</v>
      </c>
      <c r="E44" s="63"/>
      <c r="F44" s="509" t="s">
        <v>88</v>
      </c>
      <c r="G44" s="510"/>
    </row>
    <row r="45" spans="2:7" ht="13" x14ac:dyDescent="0.3">
      <c r="E45" s="63"/>
      <c r="F45" s="512" t="s">
        <v>89</v>
      </c>
      <c r="G45" s="513"/>
    </row>
    <row r="46" spans="2:7" ht="5.25" customHeight="1" x14ac:dyDescent="0.3">
      <c r="E46" s="63"/>
      <c r="F46" s="506"/>
      <c r="G46" s="507"/>
    </row>
    <row r="47" spans="2:7" ht="13" x14ac:dyDescent="0.3">
      <c r="B47" s="508" t="s">
        <v>32</v>
      </c>
      <c r="C47" s="508"/>
      <c r="D47" s="508"/>
      <c r="E47" s="63"/>
      <c r="F47" s="65" t="s">
        <v>38</v>
      </c>
      <c r="G47" s="65" t="s">
        <v>39</v>
      </c>
    </row>
    <row r="48" spans="2:7" ht="13" x14ac:dyDescent="0.3">
      <c r="B48" s="511" t="s">
        <v>31</v>
      </c>
      <c r="C48" s="511"/>
      <c r="D48" s="511"/>
      <c r="E48" s="63"/>
      <c r="F48" s="65"/>
      <c r="G48" s="65" t="s">
        <v>40</v>
      </c>
    </row>
    <row r="49" spans="2:7" ht="13" x14ac:dyDescent="0.3">
      <c r="B49" s="505"/>
      <c r="C49" s="505"/>
      <c r="D49" s="505"/>
      <c r="E49" s="67"/>
      <c r="F49" s="66"/>
      <c r="G49" s="66"/>
    </row>
    <row r="50" spans="2:7" ht="16" customHeight="1" x14ac:dyDescent="0.3">
      <c r="B50" s="65" t="s">
        <v>33</v>
      </c>
      <c r="C50" s="65" t="s">
        <v>35</v>
      </c>
      <c r="D50" s="65" t="s">
        <v>29</v>
      </c>
      <c r="E50" s="70"/>
      <c r="F50" s="68">
        <v>0.01</v>
      </c>
      <c r="G50" s="68">
        <f t="shared" ref="G50:G60" si="0">G13/2</f>
        <v>203.51</v>
      </c>
    </row>
    <row r="51" spans="2:7" ht="16" customHeight="1" x14ac:dyDescent="0.3">
      <c r="B51" s="65" t="s">
        <v>34</v>
      </c>
      <c r="C51" s="65" t="s">
        <v>36</v>
      </c>
      <c r="D51" s="65" t="s">
        <v>37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6" customHeight="1" x14ac:dyDescent="0.3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6" customHeight="1" x14ac:dyDescent="0.3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6" customHeight="1" x14ac:dyDescent="0.3">
      <c r="B54" s="68">
        <f>B14/2</f>
        <v>289.26499999999999</v>
      </c>
      <c r="C54" s="68">
        <f>C14/2</f>
        <v>5.5549999999999997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6" customHeight="1" x14ac:dyDescent="0.3">
      <c r="B55" s="68">
        <f t="shared" ref="B55:C63" si="2">B15/2</f>
        <v>2455.0949999999998</v>
      </c>
      <c r="C55" s="68">
        <f t="shared" si="2"/>
        <v>144.16499999999999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6" customHeight="1" x14ac:dyDescent="0.3">
      <c r="B56" s="68">
        <f t="shared" si="2"/>
        <v>4314.6049999999996</v>
      </c>
      <c r="C56" s="68">
        <f t="shared" si="2"/>
        <v>346.48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6" customHeight="1" x14ac:dyDescent="0.3">
      <c r="B57" s="68">
        <f t="shared" si="2"/>
        <v>5015.54</v>
      </c>
      <c r="C57" s="68">
        <f t="shared" si="2"/>
        <v>458.63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6" customHeight="1" x14ac:dyDescent="0.3">
      <c r="B58" s="68">
        <f t="shared" si="2"/>
        <v>6004.9750000000004</v>
      </c>
      <c r="C58" s="68">
        <f t="shared" si="2"/>
        <v>635.93499999999995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6" customHeight="1" x14ac:dyDescent="0.3">
      <c r="B59" s="68">
        <f t="shared" si="2"/>
        <v>12111.16</v>
      </c>
      <c r="C59" s="68">
        <f t="shared" si="2"/>
        <v>1940.22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6" customHeight="1" x14ac:dyDescent="0.3">
      <c r="B60" s="68">
        <f t="shared" si="2"/>
        <v>19088.849999999999</v>
      </c>
      <c r="C60" s="68">
        <f t="shared" si="2"/>
        <v>3581.37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 ht="13" x14ac:dyDescent="0.3">
      <c r="B61" s="68">
        <f t="shared" si="2"/>
        <v>36443.754999999997</v>
      </c>
      <c r="C61" s="68">
        <f t="shared" si="2"/>
        <v>8787.8449999999993</v>
      </c>
      <c r="D61" s="69">
        <f t="shared" si="3"/>
        <v>0.32</v>
      </c>
      <c r="E61" s="63"/>
      <c r="F61" s="73"/>
      <c r="G61" s="73"/>
    </row>
    <row r="62" spans="2:7" ht="13" x14ac:dyDescent="0.3">
      <c r="B62" s="68">
        <f t="shared" si="2"/>
        <v>48591.67</v>
      </c>
      <c r="C62" s="68">
        <f t="shared" si="2"/>
        <v>12675.174999999999</v>
      </c>
      <c r="D62" s="69">
        <f t="shared" si="3"/>
        <v>0.34</v>
      </c>
    </row>
    <row r="63" spans="2:7" ht="13" x14ac:dyDescent="0.3">
      <c r="B63" s="68">
        <f t="shared" si="2"/>
        <v>145775.005</v>
      </c>
      <c r="C63" s="68">
        <f t="shared" si="2"/>
        <v>45717.51</v>
      </c>
      <c r="D63" s="69">
        <f t="shared" si="3"/>
        <v>0.35</v>
      </c>
    </row>
    <row r="64" spans="2:7" ht="13" x14ac:dyDescent="0.3">
      <c r="B64" s="71"/>
      <c r="C64" s="71"/>
      <c r="D64" s="72"/>
    </row>
    <row r="66" spans="2:4" ht="13" x14ac:dyDescent="0.3">
      <c r="B66" s="63"/>
      <c r="C66" s="63"/>
      <c r="D66" s="63"/>
    </row>
    <row r="67" spans="2:4" ht="13" x14ac:dyDescent="0.3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Q53"/>
  <sheetViews>
    <sheetView showGridLines="0" topLeftCell="D15" zoomScaleNormal="100" workbookViewId="0">
      <selection activeCell="E15" sqref="E15:E24"/>
    </sheetView>
  </sheetViews>
  <sheetFormatPr baseColWidth="10" defaultColWidth="11.453125" defaultRowHeight="12.5" x14ac:dyDescent="0.25"/>
  <cols>
    <col min="1" max="1" width="2.54296875" style="52" customWidth="1"/>
    <col min="2" max="2" width="5.54296875" style="52" customWidth="1"/>
    <col min="3" max="3" width="35.1796875" style="126" customWidth="1"/>
    <col min="4" max="4" width="23.453125" style="52" customWidth="1"/>
    <col min="5" max="5" width="28.1796875" style="52" customWidth="1"/>
    <col min="6" max="6" width="13.26953125" style="52" hidden="1" customWidth="1"/>
    <col min="7" max="7" width="7.81640625" style="132" hidden="1" customWidth="1"/>
    <col min="8" max="8" width="14.7265625" style="136" customWidth="1"/>
    <col min="9" max="9" width="11.81640625" style="52" hidden="1" customWidth="1"/>
    <col min="10" max="10" width="12.1796875" style="52" hidden="1" customWidth="1"/>
    <col min="11" max="11" width="11.54296875" style="52" hidden="1" customWidth="1"/>
    <col min="12" max="12" width="12" style="52" hidden="1" customWidth="1"/>
    <col min="13" max="13" width="8.453125" style="52" hidden="1" customWidth="1"/>
    <col min="14" max="14" width="7.26953125" style="52" hidden="1" customWidth="1"/>
    <col min="15" max="15" width="10.7265625" style="52" customWidth="1"/>
    <col min="16" max="16" width="8.7265625" style="52" hidden="1" customWidth="1"/>
    <col min="17" max="17" width="13.1796875" style="52" hidden="1" customWidth="1"/>
    <col min="18" max="18" width="11" style="52" hidden="1" customWidth="1"/>
    <col min="19" max="19" width="12.1796875" style="52" hidden="1" customWidth="1"/>
    <col min="20" max="20" width="11" style="52" hidden="1" customWidth="1"/>
    <col min="21" max="22" width="13.1796875" style="52" hidden="1" customWidth="1"/>
    <col min="23" max="23" width="10.54296875" style="52" hidden="1" customWidth="1"/>
    <col min="24" max="24" width="10.453125" style="52" hidden="1" customWidth="1"/>
    <col min="25" max="25" width="13.1796875" style="52" hidden="1" customWidth="1"/>
    <col min="26" max="26" width="11.54296875" style="52" hidden="1" customWidth="1"/>
    <col min="27" max="27" width="7.7265625" style="52" hidden="1" customWidth="1"/>
    <col min="28" max="28" width="9.26953125" style="52" customWidth="1"/>
    <col min="29" max="29" width="10.54296875" style="52" customWidth="1"/>
    <col min="30" max="30" width="11.26953125" style="52" hidden="1" customWidth="1"/>
    <col min="31" max="31" width="10.453125" style="52" hidden="1" customWidth="1"/>
    <col min="32" max="32" width="12.26953125" style="52" hidden="1" customWidth="1"/>
    <col min="33" max="33" width="11.54296875" style="52" hidden="1" customWidth="1"/>
    <col min="34" max="34" width="10.453125" style="52" customWidth="1"/>
    <col min="35" max="35" width="15" style="52" customWidth="1"/>
    <col min="36" max="36" width="37.1796875" style="52" customWidth="1"/>
    <col min="37" max="16384" width="11.453125" style="52"/>
  </cols>
  <sheetData>
    <row r="3" spans="1:43" x14ac:dyDescent="0.25">
      <c r="B3" s="199"/>
      <c r="C3" s="200"/>
      <c r="D3" s="199"/>
      <c r="E3" s="199"/>
      <c r="F3" s="199"/>
      <c r="G3" s="201"/>
      <c r="H3" s="202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</row>
    <row r="4" spans="1:43" x14ac:dyDescent="0.25">
      <c r="B4" s="199"/>
      <c r="C4" s="200"/>
      <c r="D4" s="199"/>
      <c r="E4" s="199"/>
      <c r="F4" s="199"/>
      <c r="G4" s="201"/>
      <c r="H4" s="202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</row>
    <row r="5" spans="1:43" x14ac:dyDescent="0.25">
      <c r="B5" s="199"/>
      <c r="C5" s="200"/>
      <c r="D5" s="199"/>
      <c r="E5" s="199"/>
      <c r="F5" s="199"/>
      <c r="G5" s="201"/>
      <c r="H5" s="202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1:43" x14ac:dyDescent="0.25">
      <c r="B6" s="199"/>
      <c r="C6" s="200"/>
      <c r="D6" s="199"/>
      <c r="E6" s="199"/>
      <c r="F6" s="199"/>
      <c r="G6" s="201"/>
      <c r="H6" s="202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</row>
    <row r="7" spans="1:43" x14ac:dyDescent="0.25">
      <c r="B7" s="199"/>
      <c r="C7" s="200"/>
      <c r="D7" s="199"/>
      <c r="E7" s="199"/>
      <c r="F7" s="199"/>
      <c r="G7" s="201"/>
      <c r="H7" s="202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</row>
    <row r="8" spans="1:43" x14ac:dyDescent="0.25">
      <c r="B8" s="199"/>
      <c r="C8" s="200"/>
      <c r="D8" s="199"/>
      <c r="E8" s="199"/>
      <c r="F8" s="199"/>
      <c r="G8" s="201"/>
      <c r="H8" s="202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</row>
    <row r="9" spans="1:43" ht="30" customHeight="1" x14ac:dyDescent="0.25">
      <c r="B9" s="203"/>
      <c r="C9" s="200"/>
      <c r="D9" s="203"/>
      <c r="E9" s="203"/>
      <c r="F9" s="292" t="s">
        <v>167</v>
      </c>
      <c r="G9" s="204"/>
      <c r="H9" s="205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</row>
    <row r="10" spans="1:43" s="98" customFormat="1" ht="9" customHeight="1" x14ac:dyDescent="0.25">
      <c r="A10" s="52"/>
      <c r="B10" s="206"/>
      <c r="C10" s="206"/>
      <c r="D10" s="206"/>
      <c r="E10" s="206"/>
      <c r="F10" s="206"/>
      <c r="G10" s="207"/>
      <c r="H10" s="208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3"/>
    </row>
    <row r="11" spans="1:43" s="98" customFormat="1" ht="13.5" x14ac:dyDescent="0.25">
      <c r="A11" s="52"/>
      <c r="B11" s="522" t="s">
        <v>527</v>
      </c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22"/>
      <c r="AA11" s="522"/>
      <c r="AB11" s="522"/>
      <c r="AC11" s="522"/>
      <c r="AD11" s="522"/>
      <c r="AE11" s="522"/>
      <c r="AF11" s="522"/>
      <c r="AG11" s="522"/>
      <c r="AH11" s="522"/>
      <c r="AI11" s="522"/>
      <c r="AJ11" s="522"/>
      <c r="AP11" s="120"/>
      <c r="AQ11" s="98" t="s">
        <v>205</v>
      </c>
    </row>
    <row r="12" spans="1:43" s="98" customFormat="1" ht="12.75" customHeight="1" x14ac:dyDescent="0.25">
      <c r="A12" s="52"/>
      <c r="B12" s="533" t="s">
        <v>42</v>
      </c>
      <c r="C12" s="533" t="s">
        <v>43</v>
      </c>
      <c r="D12" s="533" t="s">
        <v>101</v>
      </c>
      <c r="E12" s="533" t="s">
        <v>214</v>
      </c>
      <c r="F12" s="533" t="s">
        <v>311</v>
      </c>
      <c r="G12" s="197" t="s">
        <v>9</v>
      </c>
      <c r="H12" s="517" t="s">
        <v>2</v>
      </c>
      <c r="I12" s="518"/>
      <c r="J12" s="518"/>
      <c r="K12" s="518"/>
      <c r="L12" s="518"/>
      <c r="M12" s="518"/>
      <c r="N12" s="518"/>
      <c r="O12" s="519"/>
      <c r="P12" s="155"/>
      <c r="Q12" s="198" t="s">
        <v>48</v>
      </c>
      <c r="R12" s="198"/>
      <c r="S12" s="198" t="s">
        <v>30</v>
      </c>
      <c r="T12" s="198"/>
      <c r="U12" s="198"/>
      <c r="V12" s="198"/>
      <c r="W12" s="198"/>
      <c r="X12" s="198"/>
      <c r="Y12" s="198" t="s">
        <v>54</v>
      </c>
      <c r="Z12" s="198" t="s">
        <v>31</v>
      </c>
      <c r="AA12" s="161"/>
      <c r="AB12" s="155" t="s">
        <v>87</v>
      </c>
      <c r="AC12" s="514" t="s">
        <v>3</v>
      </c>
      <c r="AD12" s="515"/>
      <c r="AE12" s="515"/>
      <c r="AF12" s="515"/>
      <c r="AG12" s="515"/>
      <c r="AH12" s="516"/>
      <c r="AI12" s="533" t="s">
        <v>310</v>
      </c>
      <c r="AJ12" s="209"/>
      <c r="AP12" s="121"/>
      <c r="AQ12" s="98" t="s">
        <v>206</v>
      </c>
    </row>
    <row r="13" spans="1:43" s="98" customFormat="1" ht="13" x14ac:dyDescent="0.25">
      <c r="A13" s="52"/>
      <c r="B13" s="534"/>
      <c r="C13" s="535"/>
      <c r="D13" s="535"/>
      <c r="E13" s="535"/>
      <c r="F13" s="535"/>
      <c r="G13" s="197" t="s">
        <v>45</v>
      </c>
      <c r="H13" s="536" t="s">
        <v>201</v>
      </c>
      <c r="I13" s="155" t="s">
        <v>46</v>
      </c>
      <c r="J13" s="155" t="s">
        <v>46</v>
      </c>
      <c r="K13" s="155" t="s">
        <v>73</v>
      </c>
      <c r="L13" s="155" t="s">
        <v>48</v>
      </c>
      <c r="M13" s="155" t="s">
        <v>50</v>
      </c>
      <c r="N13" s="155" t="s">
        <v>50</v>
      </c>
      <c r="O13" s="533" t="s">
        <v>286</v>
      </c>
      <c r="P13" s="155"/>
      <c r="Q13" s="198" t="s">
        <v>49</v>
      </c>
      <c r="R13" s="198" t="s">
        <v>56</v>
      </c>
      <c r="S13" s="198" t="s">
        <v>33</v>
      </c>
      <c r="T13" s="198" t="s">
        <v>58</v>
      </c>
      <c r="U13" s="198" t="s">
        <v>60</v>
      </c>
      <c r="V13" s="198" t="s">
        <v>61</v>
      </c>
      <c r="W13" s="198" t="s">
        <v>35</v>
      </c>
      <c r="X13" s="198" t="s">
        <v>31</v>
      </c>
      <c r="Y13" s="198" t="s">
        <v>64</v>
      </c>
      <c r="Z13" s="198" t="s">
        <v>65</v>
      </c>
      <c r="AA13" s="161"/>
      <c r="AB13" s="155" t="s">
        <v>55</v>
      </c>
      <c r="AC13" s="155" t="s">
        <v>4</v>
      </c>
      <c r="AD13" s="155" t="s">
        <v>5</v>
      </c>
      <c r="AE13" s="155" t="s">
        <v>54</v>
      </c>
      <c r="AF13" s="155" t="s">
        <v>74</v>
      </c>
      <c r="AG13" s="155" t="s">
        <v>99</v>
      </c>
      <c r="AH13" s="533" t="s">
        <v>308</v>
      </c>
      <c r="AI13" s="535"/>
      <c r="AJ13" s="209"/>
    </row>
    <row r="14" spans="1:43" s="98" customFormat="1" ht="25.5" customHeight="1" x14ac:dyDescent="0.25">
      <c r="A14" s="52"/>
      <c r="B14" s="155"/>
      <c r="C14" s="534"/>
      <c r="D14" s="534"/>
      <c r="E14" s="534"/>
      <c r="F14" s="534"/>
      <c r="G14" s="197"/>
      <c r="H14" s="537"/>
      <c r="I14" s="155" t="s">
        <v>76</v>
      </c>
      <c r="J14" s="155" t="s">
        <v>47</v>
      </c>
      <c r="K14" s="155"/>
      <c r="L14" s="155" t="s">
        <v>49</v>
      </c>
      <c r="M14" s="155" t="s">
        <v>51</v>
      </c>
      <c r="N14" s="155" t="s">
        <v>52</v>
      </c>
      <c r="O14" s="534"/>
      <c r="P14" s="155"/>
      <c r="Q14" s="198" t="s">
        <v>66</v>
      </c>
      <c r="R14" s="198" t="s">
        <v>57</v>
      </c>
      <c r="S14" s="198" t="s">
        <v>34</v>
      </c>
      <c r="T14" s="198" t="s">
        <v>59</v>
      </c>
      <c r="U14" s="198" t="s">
        <v>59</v>
      </c>
      <c r="V14" s="198" t="s">
        <v>62</v>
      </c>
      <c r="W14" s="198" t="s">
        <v>36</v>
      </c>
      <c r="X14" s="198" t="s">
        <v>63</v>
      </c>
      <c r="Y14" s="198" t="s">
        <v>40</v>
      </c>
      <c r="Z14" s="198" t="s">
        <v>94</v>
      </c>
      <c r="AA14" s="161"/>
      <c r="AB14" s="155" t="s">
        <v>86</v>
      </c>
      <c r="AC14" s="155"/>
      <c r="AD14" s="155"/>
      <c r="AE14" s="155" t="s">
        <v>72</v>
      </c>
      <c r="AF14" s="155" t="s">
        <v>75</v>
      </c>
      <c r="AG14" s="155"/>
      <c r="AH14" s="534"/>
      <c r="AI14" s="534"/>
      <c r="AJ14" s="155" t="s">
        <v>100</v>
      </c>
    </row>
    <row r="15" spans="1:43" s="105" customFormat="1" ht="27" customHeight="1" x14ac:dyDescent="0.3">
      <c r="A15" s="103"/>
      <c r="B15" s="156">
        <v>1</v>
      </c>
      <c r="C15" s="157" t="s">
        <v>298</v>
      </c>
      <c r="D15" s="157" t="s">
        <v>168</v>
      </c>
      <c r="E15" s="157"/>
      <c r="F15" s="157">
        <v>15</v>
      </c>
      <c r="G15" s="210"/>
      <c r="H15" s="211">
        <v>8967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3">
        <f>SUM(H15:N15)</f>
        <v>8967</v>
      </c>
      <c r="P15" s="214"/>
      <c r="Q15" s="213">
        <f t="shared" ref="Q15" si="0">IF(G15=47.16,0,IF(G15&gt;47.16,L15*0.5,0))</f>
        <v>0</v>
      </c>
      <c r="R15" s="213">
        <f t="shared" ref="R15" si="1">H15+I15+J15+M15+Q15+K15</f>
        <v>8967</v>
      </c>
      <c r="S15" s="213">
        <f t="shared" ref="S15" si="2">VLOOKUP(R15,TARIFA1,1)</f>
        <v>6602.71</v>
      </c>
      <c r="T15" s="213">
        <f t="shared" ref="T15" si="3">R15-S15</f>
        <v>2364.29</v>
      </c>
      <c r="U15" s="215">
        <f t="shared" ref="U15" si="4">VLOOKUP(R15,TARIFA1,3)</f>
        <v>0.21360000000000001</v>
      </c>
      <c r="V15" s="213">
        <f t="shared" ref="V15" si="5">T15*U15</f>
        <v>505.01234400000004</v>
      </c>
      <c r="W15" s="213">
        <f t="shared" ref="W15" si="6">VLOOKUP(R15,TARIFA1,2)</f>
        <v>699.3</v>
      </c>
      <c r="X15" s="213">
        <f t="shared" ref="X15" si="7">V15+W15</f>
        <v>1204.3123439999999</v>
      </c>
      <c r="Y15" s="213">
        <f t="shared" ref="Y15" si="8">VLOOKUP(R15,Credito1,2)</f>
        <v>0</v>
      </c>
      <c r="Z15" s="213">
        <f t="shared" ref="Z15" si="9">ROUND(X15-Y15,2)</f>
        <v>1204.31</v>
      </c>
      <c r="AA15" s="216"/>
      <c r="AB15" s="213">
        <f t="shared" ref="AB15" si="10">-IF(Z15&gt;0,0,Z15)</f>
        <v>0</v>
      </c>
      <c r="AC15" s="213">
        <f t="shared" ref="AC15" si="11">IF(Z15&lt;0,0,Z15)</f>
        <v>1204.31</v>
      </c>
      <c r="AD15" s="213">
        <v>0</v>
      </c>
      <c r="AE15" s="212">
        <v>0</v>
      </c>
      <c r="AF15" s="212">
        <v>0</v>
      </c>
      <c r="AG15" s="217">
        <v>0</v>
      </c>
      <c r="AH15" s="213">
        <f t="shared" ref="AH15" si="12">SUM(AC15:AG15)</f>
        <v>1204.31</v>
      </c>
      <c r="AI15" s="213">
        <f t="shared" ref="AI15" si="13">O15+AB15-AH15</f>
        <v>7762.6900000000005</v>
      </c>
      <c r="AJ15" s="213"/>
      <c r="AK15" s="104"/>
    </row>
    <row r="16" spans="1:43" s="105" customFormat="1" ht="24" customHeight="1" x14ac:dyDescent="0.3">
      <c r="A16" s="103"/>
      <c r="B16" s="156">
        <v>2</v>
      </c>
      <c r="C16" s="157" t="s">
        <v>299</v>
      </c>
      <c r="D16" s="157" t="s">
        <v>168</v>
      </c>
      <c r="E16" s="190"/>
      <c r="F16" s="157">
        <v>15</v>
      </c>
      <c r="G16" s="218"/>
      <c r="H16" s="211">
        <v>8967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3">
        <f>SUM(H16:N16)</f>
        <v>8967</v>
      </c>
      <c r="P16" s="214"/>
      <c r="Q16" s="213">
        <f t="shared" ref="Q16:Q22" si="14">IF(G16=47.16,0,IF(G16&gt;47.16,L16*0.5,0))</f>
        <v>0</v>
      </c>
      <c r="R16" s="213">
        <f t="shared" ref="R16:R22" si="15">H16+I16+J16+M16+Q16+K16</f>
        <v>8967</v>
      </c>
      <c r="S16" s="213">
        <f t="shared" ref="S16:S21" si="16">VLOOKUP(R16,TARIFA1,1)</f>
        <v>6602.71</v>
      </c>
      <c r="T16" s="213">
        <f t="shared" ref="T16:T22" si="17">R16-S16</f>
        <v>2364.29</v>
      </c>
      <c r="U16" s="215">
        <f t="shared" ref="U16:U21" si="18">VLOOKUP(R16,TARIFA1,3)</f>
        <v>0.21360000000000001</v>
      </c>
      <c r="V16" s="213">
        <f t="shared" ref="V16:V22" si="19">T16*U16</f>
        <v>505.01234400000004</v>
      </c>
      <c r="W16" s="213">
        <f t="shared" ref="W16:W21" si="20">VLOOKUP(R16,TARIFA1,2)</f>
        <v>699.3</v>
      </c>
      <c r="X16" s="213">
        <f t="shared" ref="X16:X22" si="21">V16+W16</f>
        <v>1204.3123439999999</v>
      </c>
      <c r="Y16" s="213">
        <f t="shared" ref="Y16:Y21" si="22">VLOOKUP(R16,Credito1,2)</f>
        <v>0</v>
      </c>
      <c r="Z16" s="213">
        <f t="shared" ref="Z16:Z22" si="23">ROUND(X16-Y16,2)</f>
        <v>1204.31</v>
      </c>
      <c r="AA16" s="216"/>
      <c r="AB16" s="213">
        <f t="shared" ref="AB16:AB22" si="24">-IF(Z16&gt;0,0,Z16)</f>
        <v>0</v>
      </c>
      <c r="AC16" s="213">
        <f t="shared" ref="AC16:AC22" si="25">IF(Z16&lt;0,0,Z16)</f>
        <v>1204.31</v>
      </c>
      <c r="AD16" s="213">
        <v>0</v>
      </c>
      <c r="AE16" s="212">
        <v>0</v>
      </c>
      <c r="AF16" s="212">
        <v>0</v>
      </c>
      <c r="AG16" s="217">
        <v>0</v>
      </c>
      <c r="AH16" s="213">
        <f t="shared" ref="AH16:AH22" si="26">SUM(AC16:AG16)</f>
        <v>1204.31</v>
      </c>
      <c r="AI16" s="213">
        <f t="shared" ref="AI16:AI23" si="27">O16+AB16-AH16</f>
        <v>7762.6900000000005</v>
      </c>
      <c r="AJ16" s="213"/>
      <c r="AK16" s="104"/>
    </row>
    <row r="17" spans="1:37" s="105" customFormat="1" ht="24" customHeight="1" x14ac:dyDescent="0.3">
      <c r="A17" s="103"/>
      <c r="B17" s="156">
        <v>3</v>
      </c>
      <c r="C17" s="219" t="s">
        <v>300</v>
      </c>
      <c r="D17" s="157" t="s">
        <v>168</v>
      </c>
      <c r="E17" s="157"/>
      <c r="F17" s="157">
        <v>15</v>
      </c>
      <c r="G17" s="218"/>
      <c r="H17" s="211">
        <v>8967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3">
        <f t="shared" ref="O17:O22" si="28">SUM(H17:N17)</f>
        <v>8967</v>
      </c>
      <c r="P17" s="214"/>
      <c r="Q17" s="213">
        <f t="shared" si="14"/>
        <v>0</v>
      </c>
      <c r="R17" s="213">
        <f t="shared" si="15"/>
        <v>8967</v>
      </c>
      <c r="S17" s="213">
        <f t="shared" si="16"/>
        <v>6602.71</v>
      </c>
      <c r="T17" s="213">
        <f t="shared" si="17"/>
        <v>2364.29</v>
      </c>
      <c r="U17" s="215">
        <f t="shared" si="18"/>
        <v>0.21360000000000001</v>
      </c>
      <c r="V17" s="213">
        <f t="shared" si="19"/>
        <v>505.01234400000004</v>
      </c>
      <c r="W17" s="213">
        <f t="shared" si="20"/>
        <v>699.3</v>
      </c>
      <c r="X17" s="213">
        <f t="shared" si="21"/>
        <v>1204.3123439999999</v>
      </c>
      <c r="Y17" s="213">
        <f t="shared" si="22"/>
        <v>0</v>
      </c>
      <c r="Z17" s="213">
        <f t="shared" si="23"/>
        <v>1204.31</v>
      </c>
      <c r="AA17" s="216"/>
      <c r="AB17" s="213">
        <f t="shared" si="24"/>
        <v>0</v>
      </c>
      <c r="AC17" s="213">
        <f t="shared" si="25"/>
        <v>1204.31</v>
      </c>
      <c r="AD17" s="213">
        <v>0</v>
      </c>
      <c r="AE17" s="212">
        <v>0</v>
      </c>
      <c r="AF17" s="212">
        <v>0</v>
      </c>
      <c r="AG17" s="217">
        <v>0</v>
      </c>
      <c r="AH17" s="213">
        <f t="shared" si="26"/>
        <v>1204.31</v>
      </c>
      <c r="AI17" s="213">
        <f t="shared" si="27"/>
        <v>7762.6900000000005</v>
      </c>
      <c r="AJ17" s="213"/>
      <c r="AK17" s="104"/>
    </row>
    <row r="18" spans="1:37" s="105" customFormat="1" ht="24" customHeight="1" x14ac:dyDescent="0.3">
      <c r="A18" s="103"/>
      <c r="B18" s="156">
        <v>4</v>
      </c>
      <c r="C18" s="219" t="s">
        <v>301</v>
      </c>
      <c r="D18" s="157" t="s">
        <v>168</v>
      </c>
      <c r="E18" s="157"/>
      <c r="F18" s="157">
        <v>15</v>
      </c>
      <c r="G18" s="218"/>
      <c r="H18" s="211">
        <v>8967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3">
        <f t="shared" si="28"/>
        <v>8967</v>
      </c>
      <c r="P18" s="214"/>
      <c r="Q18" s="213">
        <f t="shared" si="14"/>
        <v>0</v>
      </c>
      <c r="R18" s="213">
        <f t="shared" si="15"/>
        <v>8967</v>
      </c>
      <c r="S18" s="213">
        <f t="shared" si="16"/>
        <v>6602.71</v>
      </c>
      <c r="T18" s="213">
        <f t="shared" si="17"/>
        <v>2364.29</v>
      </c>
      <c r="U18" s="215">
        <f t="shared" si="18"/>
        <v>0.21360000000000001</v>
      </c>
      <c r="V18" s="213">
        <f t="shared" si="19"/>
        <v>505.01234400000004</v>
      </c>
      <c r="W18" s="213">
        <f t="shared" si="20"/>
        <v>699.3</v>
      </c>
      <c r="X18" s="213">
        <f t="shared" si="21"/>
        <v>1204.3123439999999</v>
      </c>
      <c r="Y18" s="213">
        <f t="shared" si="22"/>
        <v>0</v>
      </c>
      <c r="Z18" s="213">
        <f t="shared" si="23"/>
        <v>1204.31</v>
      </c>
      <c r="AA18" s="216"/>
      <c r="AB18" s="213">
        <f t="shared" si="24"/>
        <v>0</v>
      </c>
      <c r="AC18" s="213">
        <f t="shared" si="25"/>
        <v>1204.31</v>
      </c>
      <c r="AD18" s="213">
        <v>0</v>
      </c>
      <c r="AE18" s="212">
        <v>0</v>
      </c>
      <c r="AF18" s="212">
        <v>0</v>
      </c>
      <c r="AG18" s="217">
        <v>0</v>
      </c>
      <c r="AH18" s="213">
        <f t="shared" si="26"/>
        <v>1204.31</v>
      </c>
      <c r="AI18" s="213">
        <f t="shared" si="27"/>
        <v>7762.6900000000005</v>
      </c>
      <c r="AJ18" s="213"/>
      <c r="AK18" s="104"/>
    </row>
    <row r="19" spans="1:37" s="105" customFormat="1" ht="24" customHeight="1" x14ac:dyDescent="0.3">
      <c r="A19" s="103"/>
      <c r="B19" s="156">
        <v>5</v>
      </c>
      <c r="C19" s="219" t="s">
        <v>302</v>
      </c>
      <c r="D19" s="157" t="s">
        <v>168</v>
      </c>
      <c r="E19" s="157"/>
      <c r="F19" s="157">
        <v>15</v>
      </c>
      <c r="G19" s="218"/>
      <c r="H19" s="211">
        <v>8967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3">
        <f>SUM(H19:N19)</f>
        <v>8967</v>
      </c>
      <c r="P19" s="214"/>
      <c r="Q19" s="213">
        <f t="shared" si="14"/>
        <v>0</v>
      </c>
      <c r="R19" s="213">
        <f t="shared" si="15"/>
        <v>8967</v>
      </c>
      <c r="S19" s="213">
        <f>VLOOKUP(R19,TARIFA1,1)</f>
        <v>6602.71</v>
      </c>
      <c r="T19" s="213">
        <f t="shared" si="17"/>
        <v>2364.29</v>
      </c>
      <c r="U19" s="215">
        <f>VLOOKUP(R19,TARIFA1,3)</f>
        <v>0.21360000000000001</v>
      </c>
      <c r="V19" s="213">
        <f t="shared" si="19"/>
        <v>505.01234400000004</v>
      </c>
      <c r="W19" s="213">
        <f>VLOOKUP(R19,TARIFA1,2)</f>
        <v>699.3</v>
      </c>
      <c r="X19" s="213">
        <f t="shared" si="21"/>
        <v>1204.3123439999999</v>
      </c>
      <c r="Y19" s="213">
        <f>VLOOKUP(R19,Credito1,2)</f>
        <v>0</v>
      </c>
      <c r="Z19" s="213">
        <f t="shared" si="23"/>
        <v>1204.31</v>
      </c>
      <c r="AA19" s="216"/>
      <c r="AB19" s="213">
        <f t="shared" si="24"/>
        <v>0</v>
      </c>
      <c r="AC19" s="213">
        <f t="shared" si="25"/>
        <v>1204.31</v>
      </c>
      <c r="AD19" s="213">
        <v>0</v>
      </c>
      <c r="AE19" s="212">
        <v>0</v>
      </c>
      <c r="AF19" s="212">
        <v>0</v>
      </c>
      <c r="AG19" s="217">
        <v>0</v>
      </c>
      <c r="AH19" s="213">
        <f t="shared" si="26"/>
        <v>1204.31</v>
      </c>
      <c r="AI19" s="213">
        <f t="shared" si="27"/>
        <v>7762.6900000000005</v>
      </c>
      <c r="AJ19" s="213"/>
      <c r="AK19" s="104"/>
    </row>
    <row r="20" spans="1:37" s="105" customFormat="1" ht="24" customHeight="1" x14ac:dyDescent="0.3">
      <c r="A20" s="103"/>
      <c r="B20" s="156">
        <v>6</v>
      </c>
      <c r="C20" s="219" t="s">
        <v>303</v>
      </c>
      <c r="D20" s="157" t="s">
        <v>168</v>
      </c>
      <c r="E20" s="157"/>
      <c r="F20" s="157">
        <v>15</v>
      </c>
      <c r="G20" s="218"/>
      <c r="H20" s="211">
        <v>8967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3">
        <f t="shared" si="28"/>
        <v>8967</v>
      </c>
      <c r="P20" s="214"/>
      <c r="Q20" s="213">
        <f t="shared" si="14"/>
        <v>0</v>
      </c>
      <c r="R20" s="213">
        <f t="shared" si="15"/>
        <v>8967</v>
      </c>
      <c r="S20" s="213">
        <f t="shared" si="16"/>
        <v>6602.71</v>
      </c>
      <c r="T20" s="213">
        <f t="shared" si="17"/>
        <v>2364.29</v>
      </c>
      <c r="U20" s="215">
        <f t="shared" si="18"/>
        <v>0.21360000000000001</v>
      </c>
      <c r="V20" s="213">
        <f t="shared" si="19"/>
        <v>505.01234400000004</v>
      </c>
      <c r="W20" s="213">
        <f t="shared" si="20"/>
        <v>699.3</v>
      </c>
      <c r="X20" s="213">
        <f t="shared" si="21"/>
        <v>1204.3123439999999</v>
      </c>
      <c r="Y20" s="213">
        <f t="shared" si="22"/>
        <v>0</v>
      </c>
      <c r="Z20" s="213">
        <f t="shared" si="23"/>
        <v>1204.31</v>
      </c>
      <c r="AA20" s="216"/>
      <c r="AB20" s="213">
        <f t="shared" si="24"/>
        <v>0</v>
      </c>
      <c r="AC20" s="213">
        <f t="shared" si="25"/>
        <v>1204.31</v>
      </c>
      <c r="AD20" s="213">
        <v>0</v>
      </c>
      <c r="AE20" s="212">
        <v>0</v>
      </c>
      <c r="AF20" s="212">
        <v>0</v>
      </c>
      <c r="AG20" s="217">
        <v>0</v>
      </c>
      <c r="AH20" s="213">
        <f t="shared" si="26"/>
        <v>1204.31</v>
      </c>
      <c r="AI20" s="213">
        <f t="shared" si="27"/>
        <v>7762.6900000000005</v>
      </c>
      <c r="AJ20" s="213"/>
      <c r="AK20" s="104"/>
    </row>
    <row r="21" spans="1:37" s="105" customFormat="1" ht="24" customHeight="1" x14ac:dyDescent="0.3">
      <c r="A21" s="103"/>
      <c r="B21" s="156">
        <v>7</v>
      </c>
      <c r="C21" s="219" t="s">
        <v>304</v>
      </c>
      <c r="D21" s="157" t="s">
        <v>168</v>
      </c>
      <c r="E21" s="157"/>
      <c r="F21" s="157">
        <v>15</v>
      </c>
      <c r="G21" s="218"/>
      <c r="H21" s="211">
        <v>8967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3">
        <f t="shared" si="28"/>
        <v>8967</v>
      </c>
      <c r="P21" s="214"/>
      <c r="Q21" s="213">
        <f t="shared" si="14"/>
        <v>0</v>
      </c>
      <c r="R21" s="213">
        <f t="shared" si="15"/>
        <v>8967</v>
      </c>
      <c r="S21" s="213">
        <f t="shared" si="16"/>
        <v>6602.71</v>
      </c>
      <c r="T21" s="213">
        <f t="shared" si="17"/>
        <v>2364.29</v>
      </c>
      <c r="U21" s="215">
        <f t="shared" si="18"/>
        <v>0.21360000000000001</v>
      </c>
      <c r="V21" s="213">
        <f t="shared" si="19"/>
        <v>505.01234400000004</v>
      </c>
      <c r="W21" s="213">
        <f t="shared" si="20"/>
        <v>699.3</v>
      </c>
      <c r="X21" s="213">
        <f t="shared" si="21"/>
        <v>1204.3123439999999</v>
      </c>
      <c r="Y21" s="213">
        <f t="shared" si="22"/>
        <v>0</v>
      </c>
      <c r="Z21" s="213">
        <f t="shared" si="23"/>
        <v>1204.31</v>
      </c>
      <c r="AA21" s="216"/>
      <c r="AB21" s="213">
        <f t="shared" si="24"/>
        <v>0</v>
      </c>
      <c r="AC21" s="213">
        <f t="shared" si="25"/>
        <v>1204.31</v>
      </c>
      <c r="AD21" s="213">
        <v>0</v>
      </c>
      <c r="AE21" s="212">
        <v>0</v>
      </c>
      <c r="AF21" s="212">
        <v>0</v>
      </c>
      <c r="AG21" s="217">
        <v>0</v>
      </c>
      <c r="AH21" s="213">
        <f t="shared" si="26"/>
        <v>1204.31</v>
      </c>
      <c r="AI21" s="213">
        <f t="shared" si="27"/>
        <v>7762.6900000000005</v>
      </c>
      <c r="AJ21" s="213"/>
      <c r="AK21" s="104"/>
    </row>
    <row r="22" spans="1:37" s="105" customFormat="1" ht="24" customHeight="1" x14ac:dyDescent="0.3">
      <c r="A22" s="103"/>
      <c r="B22" s="156">
        <v>8</v>
      </c>
      <c r="C22" s="219" t="s">
        <v>305</v>
      </c>
      <c r="D22" s="157" t="s">
        <v>168</v>
      </c>
      <c r="E22" s="190"/>
      <c r="F22" s="157">
        <v>15</v>
      </c>
      <c r="G22" s="218"/>
      <c r="H22" s="211">
        <v>8967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3">
        <f t="shared" si="28"/>
        <v>8967</v>
      </c>
      <c r="P22" s="214"/>
      <c r="Q22" s="213">
        <f t="shared" si="14"/>
        <v>0</v>
      </c>
      <c r="R22" s="213">
        <f t="shared" si="15"/>
        <v>8967</v>
      </c>
      <c r="S22" s="213">
        <f>VLOOKUP(R22,TARIFA1,1)</f>
        <v>6602.71</v>
      </c>
      <c r="T22" s="213">
        <f t="shared" si="17"/>
        <v>2364.29</v>
      </c>
      <c r="U22" s="215">
        <f>VLOOKUP(R22,TARIFA1,3)</f>
        <v>0.21360000000000001</v>
      </c>
      <c r="V22" s="213">
        <f t="shared" si="19"/>
        <v>505.01234400000004</v>
      </c>
      <c r="W22" s="213">
        <f>VLOOKUP(R22,TARIFA1,2)</f>
        <v>699.3</v>
      </c>
      <c r="X22" s="213">
        <f t="shared" si="21"/>
        <v>1204.3123439999999</v>
      </c>
      <c r="Y22" s="213">
        <f>VLOOKUP(R22,Credito1,2)</f>
        <v>0</v>
      </c>
      <c r="Z22" s="213">
        <f t="shared" si="23"/>
        <v>1204.31</v>
      </c>
      <c r="AA22" s="216"/>
      <c r="AB22" s="213">
        <f t="shared" si="24"/>
        <v>0</v>
      </c>
      <c r="AC22" s="213">
        <f t="shared" si="25"/>
        <v>1204.31</v>
      </c>
      <c r="AD22" s="213">
        <v>0</v>
      </c>
      <c r="AE22" s="212">
        <v>0</v>
      </c>
      <c r="AF22" s="212">
        <v>0</v>
      </c>
      <c r="AG22" s="217">
        <v>0</v>
      </c>
      <c r="AH22" s="213">
        <f t="shared" si="26"/>
        <v>1204.31</v>
      </c>
      <c r="AI22" s="213">
        <f t="shared" si="27"/>
        <v>7762.6900000000005</v>
      </c>
      <c r="AJ22" s="213"/>
      <c r="AK22" s="104"/>
    </row>
    <row r="23" spans="1:37" s="105" customFormat="1" ht="24" customHeight="1" x14ac:dyDescent="0.3">
      <c r="A23" s="103"/>
      <c r="B23" s="156">
        <v>9</v>
      </c>
      <c r="C23" s="219" t="s">
        <v>306</v>
      </c>
      <c r="D23" s="157" t="s">
        <v>168</v>
      </c>
      <c r="E23" s="157"/>
      <c r="F23" s="157">
        <v>15</v>
      </c>
      <c r="G23" s="218"/>
      <c r="H23" s="211">
        <v>8967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3">
        <f>SUM(H23:N23)</f>
        <v>8967</v>
      </c>
      <c r="P23" s="214"/>
      <c r="Q23" s="213">
        <f>IF(G24=47.16,0,IF(G24&gt;47.16,L23*0.5,0))</f>
        <v>0</v>
      </c>
      <c r="R23" s="213">
        <f>H23+I23+J23+M23+Q23+K23</f>
        <v>8967</v>
      </c>
      <c r="S23" s="213">
        <f>VLOOKUP(R23,TARIFA1,1)</f>
        <v>6602.71</v>
      </c>
      <c r="T23" s="213">
        <f>R23-S23</f>
        <v>2364.29</v>
      </c>
      <c r="U23" s="215">
        <f>VLOOKUP(R23,TARIFA1,3)</f>
        <v>0.21360000000000001</v>
      </c>
      <c r="V23" s="213">
        <f>T23*U23</f>
        <v>505.01234400000004</v>
      </c>
      <c r="W23" s="213">
        <f>VLOOKUP(R23,TARIFA1,2)</f>
        <v>699.3</v>
      </c>
      <c r="X23" s="213">
        <f>V23+W23</f>
        <v>1204.3123439999999</v>
      </c>
      <c r="Y23" s="213">
        <f>VLOOKUP(R23,Credito1,2)</f>
        <v>0</v>
      </c>
      <c r="Z23" s="213">
        <f>ROUND(X23-Y23,2)</f>
        <v>1204.31</v>
      </c>
      <c r="AA23" s="216"/>
      <c r="AB23" s="213">
        <f>-IF(Z23&gt;0,0,Z23)</f>
        <v>0</v>
      </c>
      <c r="AC23" s="213">
        <f>IF(Z23&lt;0,0,Z23)</f>
        <v>1204.31</v>
      </c>
      <c r="AD23" s="213">
        <v>0</v>
      </c>
      <c r="AE23" s="212">
        <v>0</v>
      </c>
      <c r="AF23" s="212">
        <v>0</v>
      </c>
      <c r="AG23" s="217">
        <v>0</v>
      </c>
      <c r="AH23" s="213">
        <f>SUM(AC23:AG23)</f>
        <v>1204.31</v>
      </c>
      <c r="AI23" s="213">
        <f t="shared" si="27"/>
        <v>7762.6900000000005</v>
      </c>
      <c r="AJ23" s="213"/>
      <c r="AK23" s="104"/>
    </row>
    <row r="24" spans="1:37" s="105" customFormat="1" ht="27.75" customHeight="1" x14ac:dyDescent="0.3">
      <c r="A24" s="103"/>
      <c r="B24" s="156">
        <v>10</v>
      </c>
      <c r="C24" s="219" t="s">
        <v>307</v>
      </c>
      <c r="D24" s="157" t="s">
        <v>169</v>
      </c>
      <c r="E24" s="157"/>
      <c r="F24" s="157">
        <v>15</v>
      </c>
      <c r="G24" s="218"/>
      <c r="H24" s="211">
        <v>8967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3">
        <f>SUM(H24:N24)</f>
        <v>8967</v>
      </c>
      <c r="P24" s="214"/>
      <c r="Q24" s="213">
        <f>IF(G25=47.16,0,IF(G25&gt;47.16,L24*0.5,0))</f>
        <v>0</v>
      </c>
      <c r="R24" s="213">
        <f>H24+I24+J24+M24+Q24+K24</f>
        <v>8967</v>
      </c>
      <c r="S24" s="213">
        <f>VLOOKUP(R24,TARIFA1,1)</f>
        <v>6602.71</v>
      </c>
      <c r="T24" s="213">
        <f>R24-S24</f>
        <v>2364.29</v>
      </c>
      <c r="U24" s="215">
        <f>VLOOKUP(R24,TARIFA1,3)</f>
        <v>0.21360000000000001</v>
      </c>
      <c r="V24" s="213">
        <f>T24*U24</f>
        <v>505.01234400000004</v>
      </c>
      <c r="W24" s="213">
        <f>VLOOKUP(R24,TARIFA1,2)</f>
        <v>699.3</v>
      </c>
      <c r="X24" s="213">
        <f>V24+W24</f>
        <v>1204.3123439999999</v>
      </c>
      <c r="Y24" s="213">
        <f>VLOOKUP(R24,Credito1,2)</f>
        <v>0</v>
      </c>
      <c r="Z24" s="213">
        <f>ROUND(X24-Y24,2)</f>
        <v>1204.31</v>
      </c>
      <c r="AA24" s="216"/>
      <c r="AB24" s="213">
        <f>-IF(Z24&gt;0,0,Z24)</f>
        <v>0</v>
      </c>
      <c r="AC24" s="213">
        <f>IF(Z24&lt;0,0,Z24)</f>
        <v>1204.31</v>
      </c>
      <c r="AD24" s="213">
        <v>0</v>
      </c>
      <c r="AE24" s="212">
        <v>0</v>
      </c>
      <c r="AF24" s="212">
        <v>0</v>
      </c>
      <c r="AG24" s="217">
        <v>0</v>
      </c>
      <c r="AH24" s="213">
        <f>SUM(AC24:AG24)</f>
        <v>1204.31</v>
      </c>
      <c r="AI24" s="213">
        <f t="shared" ref="AI24" si="29">O24+AB24-AH24</f>
        <v>7762.6900000000005</v>
      </c>
      <c r="AJ24" s="213"/>
      <c r="AK24" s="104"/>
    </row>
    <row r="25" spans="1:37" s="105" customFormat="1" x14ac:dyDescent="0.25">
      <c r="A25" s="103"/>
      <c r="B25" s="523" t="s">
        <v>93</v>
      </c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4"/>
      <c r="AG25" s="524"/>
      <c r="AH25" s="524"/>
      <c r="AI25" s="524"/>
      <c r="AJ25" s="525"/>
    </row>
    <row r="26" spans="1:37" s="98" customFormat="1" x14ac:dyDescent="0.25">
      <c r="A26" s="52"/>
      <c r="B26" s="526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8"/>
    </row>
    <row r="27" spans="1:37" s="98" customFormat="1" ht="13" x14ac:dyDescent="0.25">
      <c r="A27" s="52"/>
      <c r="B27" s="529" t="s">
        <v>68</v>
      </c>
      <c r="C27" s="530"/>
      <c r="D27" s="530"/>
      <c r="E27" s="530"/>
      <c r="F27" s="531"/>
      <c r="G27" s="197"/>
      <c r="H27" s="220">
        <f>SUM(H15:H24)</f>
        <v>89670</v>
      </c>
      <c r="I27" s="221">
        <f t="shared" ref="I27:AF27" si="30">SUM(I15:I26)</f>
        <v>0</v>
      </c>
      <c r="J27" s="221">
        <f t="shared" si="30"/>
        <v>0</v>
      </c>
      <c r="K27" s="221">
        <f t="shared" si="30"/>
        <v>0</v>
      </c>
      <c r="L27" s="221">
        <f t="shared" si="30"/>
        <v>0</v>
      </c>
      <c r="M27" s="221">
        <f t="shared" si="30"/>
        <v>0</v>
      </c>
      <c r="N27" s="221">
        <f t="shared" si="30"/>
        <v>0</v>
      </c>
      <c r="O27" s="221">
        <f>SUM(O15:O24)</f>
        <v>89670</v>
      </c>
      <c r="P27" s="221"/>
      <c r="Q27" s="221">
        <f t="shared" ref="Q27:Z27" si="31">SUM(Q15:Q24)</f>
        <v>0</v>
      </c>
      <c r="R27" s="221">
        <f t="shared" si="31"/>
        <v>89670</v>
      </c>
      <c r="S27" s="221">
        <f t="shared" si="31"/>
        <v>66027.100000000006</v>
      </c>
      <c r="T27" s="221">
        <f t="shared" si="31"/>
        <v>23642.900000000005</v>
      </c>
      <c r="U27" s="221">
        <f t="shared" si="31"/>
        <v>2.1360000000000001</v>
      </c>
      <c r="V27" s="221">
        <f t="shared" si="31"/>
        <v>5050.1234400000003</v>
      </c>
      <c r="W27" s="221">
        <f t="shared" si="31"/>
        <v>6993.0000000000009</v>
      </c>
      <c r="X27" s="221">
        <f t="shared" si="31"/>
        <v>12043.123439999999</v>
      </c>
      <c r="Y27" s="221">
        <f t="shared" si="31"/>
        <v>0</v>
      </c>
      <c r="Z27" s="221">
        <f t="shared" si="31"/>
        <v>12043.099999999997</v>
      </c>
      <c r="AA27" s="221"/>
      <c r="AB27" s="221">
        <f>SUM(AB15:AB24)</f>
        <v>0</v>
      </c>
      <c r="AC27" s="221">
        <f>SUM(AC15:AC24)</f>
        <v>12043.099999999997</v>
      </c>
      <c r="AD27" s="221">
        <f t="shared" si="30"/>
        <v>0</v>
      </c>
      <c r="AE27" s="221">
        <f t="shared" si="30"/>
        <v>0</v>
      </c>
      <c r="AF27" s="221">
        <f t="shared" si="30"/>
        <v>0</v>
      </c>
      <c r="AG27" s="221">
        <f>SUM(AG15:AG24)</f>
        <v>0</v>
      </c>
      <c r="AH27" s="221">
        <f>SUM(AH15:AH24)</f>
        <v>12043.099999999997</v>
      </c>
      <c r="AI27" s="221">
        <f>SUM(AI15:AI24)</f>
        <v>77626.900000000009</v>
      </c>
      <c r="AJ27" s="209"/>
      <c r="AK27" s="98">
        <f>O27+AB27-AH27</f>
        <v>77626.900000000009</v>
      </c>
    </row>
    <row r="28" spans="1:37" x14ac:dyDescent="0.25">
      <c r="B28" s="200"/>
      <c r="C28" s="200"/>
      <c r="D28" s="200"/>
      <c r="E28" s="200"/>
      <c r="F28" s="200"/>
      <c r="G28" s="222"/>
      <c r="H28" s="223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</row>
    <row r="29" spans="1:37" x14ac:dyDescent="0.25">
      <c r="B29" s="200"/>
      <c r="C29" s="200"/>
      <c r="D29" s="200"/>
      <c r="E29" s="200"/>
      <c r="F29" s="200"/>
      <c r="G29" s="222"/>
      <c r="H29" s="223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23"/>
      <c r="AJ29" s="200"/>
    </row>
    <row r="30" spans="1:37" x14ac:dyDescent="0.25">
      <c r="B30" s="200"/>
      <c r="C30" s="200"/>
      <c r="D30" s="200"/>
      <c r="E30" s="200"/>
      <c r="F30" s="200"/>
      <c r="G30" s="222"/>
      <c r="H30" s="223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</row>
    <row r="31" spans="1:37" x14ac:dyDescent="0.25">
      <c r="B31" s="200"/>
      <c r="C31" s="200"/>
      <c r="D31" s="200"/>
      <c r="E31" s="200"/>
      <c r="F31" s="200"/>
      <c r="G31" s="222"/>
      <c r="H31" s="223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</row>
    <row r="32" spans="1:37" ht="13" thickBot="1" x14ac:dyDescent="0.3">
      <c r="B32" s="200"/>
      <c r="C32" s="224"/>
      <c r="D32" s="224"/>
      <c r="E32" s="200"/>
      <c r="F32" s="200"/>
      <c r="G32" s="222"/>
      <c r="H32" s="223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24"/>
      <c r="AC32" s="224"/>
      <c r="AD32" s="200"/>
      <c r="AE32" s="200"/>
      <c r="AF32" s="200"/>
      <c r="AG32" s="224"/>
      <c r="AH32" s="224"/>
      <c r="AI32" s="224"/>
      <c r="AJ32" s="224"/>
    </row>
    <row r="33" spans="1:36" ht="25.5" customHeight="1" x14ac:dyDescent="0.25">
      <c r="B33" s="200"/>
      <c r="C33" s="532" t="s">
        <v>200</v>
      </c>
      <c r="D33" s="532"/>
      <c r="E33" s="200"/>
      <c r="F33" s="200"/>
      <c r="G33" s="222"/>
      <c r="H33" s="223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520" t="s">
        <v>207</v>
      </c>
      <c r="AC33" s="520"/>
      <c r="AD33" s="520"/>
      <c r="AE33" s="520"/>
      <c r="AF33" s="520"/>
      <c r="AG33" s="520"/>
      <c r="AH33" s="520"/>
      <c r="AI33" s="520"/>
      <c r="AJ33" s="520"/>
    </row>
    <row r="34" spans="1:36" ht="12.75" customHeight="1" x14ac:dyDescent="0.25">
      <c r="A34" s="52" t="s">
        <v>102</v>
      </c>
      <c r="B34" s="200"/>
      <c r="C34" s="520" t="s">
        <v>297</v>
      </c>
      <c r="D34" s="520"/>
      <c r="E34" s="200"/>
      <c r="F34" s="200"/>
      <c r="G34" s="222"/>
      <c r="H34" s="223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521" t="s">
        <v>208</v>
      </c>
      <c r="AC34" s="521"/>
      <c r="AD34" s="521"/>
      <c r="AE34" s="521"/>
      <c r="AF34" s="521"/>
      <c r="AG34" s="521"/>
      <c r="AH34" s="521"/>
      <c r="AI34" s="521"/>
      <c r="AJ34" s="521"/>
    </row>
    <row r="35" spans="1:36" ht="13" x14ac:dyDescent="0.3">
      <c r="D35" s="97"/>
    </row>
    <row r="36" spans="1:36" x14ac:dyDescent="0.25">
      <c r="AI36" s="98"/>
    </row>
    <row r="37" spans="1:36" x14ac:dyDescent="0.25">
      <c r="AC37" s="109"/>
      <c r="AD37" s="109"/>
      <c r="AE37" s="109"/>
      <c r="AF37" s="109"/>
      <c r="AG37" s="109"/>
      <c r="AH37" s="109"/>
      <c r="AI37" s="98"/>
    </row>
    <row r="38" spans="1:36" x14ac:dyDescent="0.25">
      <c r="AC38" s="109"/>
      <c r="AD38" s="109"/>
      <c r="AE38" s="109"/>
      <c r="AF38" s="109"/>
      <c r="AG38" s="109"/>
      <c r="AH38" s="109"/>
      <c r="AI38" s="98"/>
    </row>
    <row r="39" spans="1:36" x14ac:dyDescent="0.25">
      <c r="AC39" s="109"/>
      <c r="AD39" s="109"/>
      <c r="AE39" s="109"/>
      <c r="AF39" s="109"/>
      <c r="AG39" s="109"/>
      <c r="AH39" s="109"/>
      <c r="AI39" s="98"/>
    </row>
    <row r="40" spans="1:36" x14ac:dyDescent="0.25">
      <c r="AC40" s="109"/>
      <c r="AD40" s="109"/>
      <c r="AE40" s="109"/>
      <c r="AF40" s="109"/>
      <c r="AG40" s="109"/>
      <c r="AH40" s="109"/>
      <c r="AI40" s="98"/>
    </row>
    <row r="41" spans="1:36" x14ac:dyDescent="0.25">
      <c r="AC41" s="109"/>
      <c r="AD41" s="109"/>
      <c r="AE41" s="109"/>
      <c r="AF41" s="109"/>
      <c r="AG41" s="109"/>
      <c r="AH41" s="109"/>
      <c r="AI41" s="98"/>
    </row>
    <row r="42" spans="1:36" x14ac:dyDescent="0.25">
      <c r="AC42" s="109"/>
      <c r="AD42" s="109"/>
      <c r="AE42" s="109"/>
      <c r="AF42" s="109"/>
      <c r="AG42" s="109"/>
      <c r="AH42" s="109"/>
      <c r="AI42" s="98"/>
    </row>
    <row r="43" spans="1:36" ht="29.5" x14ac:dyDescent="0.4">
      <c r="C43" s="130" t="s">
        <v>269</v>
      </c>
      <c r="D43" s="131">
        <f>SUM(AI27+BASE!AI111+EVENTUALES!AI165+PENSIONADOS!AI24+Apoyos!G21+Apoyos!G54)</f>
        <v>567345.49999999988</v>
      </c>
      <c r="E43" s="154">
        <f>D43-AI27-BASE!AI111</f>
        <v>279552.90999999992</v>
      </c>
      <c r="AC43" s="109"/>
      <c r="AD43" s="109"/>
      <c r="AE43" s="109"/>
      <c r="AF43" s="109"/>
      <c r="AG43" s="109"/>
      <c r="AH43" s="109"/>
      <c r="AI43" s="98"/>
    </row>
    <row r="44" spans="1:36" x14ac:dyDescent="0.25">
      <c r="AC44" s="109"/>
      <c r="AD44" s="109"/>
      <c r="AE44" s="109"/>
      <c r="AF44" s="109"/>
      <c r="AG44" s="109"/>
      <c r="AH44" s="109"/>
      <c r="AI44" s="98"/>
      <c r="AJ44" s="102"/>
    </row>
    <row r="45" spans="1:36" ht="27.5" x14ac:dyDescent="0.4">
      <c r="C45" s="139" t="s">
        <v>315</v>
      </c>
      <c r="D45" s="140">
        <f>SUM(PROT.CIVIL!AI30,'SEG. PUBLICA'!AI36)</f>
        <v>182913.35000000003</v>
      </c>
      <c r="AC45" s="109"/>
      <c r="AD45" s="109"/>
      <c r="AE45" s="109"/>
      <c r="AF45" s="109"/>
      <c r="AG45" s="109"/>
      <c r="AH45" s="115"/>
      <c r="AI45" s="109"/>
    </row>
    <row r="46" spans="1:36" x14ac:dyDescent="0.25">
      <c r="AC46" s="109"/>
      <c r="AD46" s="109"/>
      <c r="AE46" s="109"/>
      <c r="AF46" s="109"/>
      <c r="AG46" s="109"/>
      <c r="AH46" s="109"/>
      <c r="AI46" s="115"/>
      <c r="AJ46" s="102"/>
    </row>
    <row r="47" spans="1:36" x14ac:dyDescent="0.25">
      <c r="D47" s="154">
        <f>D43+D45</f>
        <v>750258.84999999986</v>
      </c>
      <c r="AC47" s="109"/>
      <c r="AD47" s="109"/>
      <c r="AE47" s="109"/>
      <c r="AF47" s="109"/>
      <c r="AG47" s="109"/>
      <c r="AH47" s="109"/>
      <c r="AI47" s="109"/>
    </row>
    <row r="48" spans="1:36" x14ac:dyDescent="0.25">
      <c r="AC48" s="109"/>
      <c r="AD48" s="109"/>
      <c r="AE48" s="109"/>
      <c r="AF48" s="109"/>
      <c r="AG48" s="109"/>
      <c r="AH48" s="109"/>
      <c r="AI48" s="109"/>
    </row>
    <row r="49" spans="29:36" x14ac:dyDescent="0.25">
      <c r="AC49" s="109"/>
      <c r="AD49" s="109"/>
      <c r="AE49" s="109"/>
      <c r="AF49" s="109"/>
      <c r="AG49" s="109"/>
      <c r="AH49" s="109"/>
      <c r="AI49" s="114"/>
    </row>
    <row r="50" spans="29:36" x14ac:dyDescent="0.25">
      <c r="AC50" s="109"/>
      <c r="AD50" s="109"/>
      <c r="AE50" s="109"/>
      <c r="AF50" s="109"/>
      <c r="AG50" s="109"/>
      <c r="AH50" s="109"/>
      <c r="AI50" s="109"/>
    </row>
    <row r="53" spans="29:36" x14ac:dyDescent="0.25">
      <c r="AJ53" s="102">
        <f>SUM(AJ46:AJ52)</f>
        <v>0</v>
      </c>
    </row>
  </sheetData>
  <mergeCells count="18">
    <mergeCell ref="AI12:AI14"/>
    <mergeCell ref="F12:F14"/>
    <mergeCell ref="AC12:AH12"/>
    <mergeCell ref="H12:O12"/>
    <mergeCell ref="AB33:AJ33"/>
    <mergeCell ref="AB34:AJ34"/>
    <mergeCell ref="B11:AJ11"/>
    <mergeCell ref="B25:AJ26"/>
    <mergeCell ref="B27:F27"/>
    <mergeCell ref="C33:D33"/>
    <mergeCell ref="C34:D34"/>
    <mergeCell ref="B12:B13"/>
    <mergeCell ref="C12:C14"/>
    <mergeCell ref="D12:D14"/>
    <mergeCell ref="E12:E14"/>
    <mergeCell ref="H13:H14"/>
    <mergeCell ref="O13:O14"/>
    <mergeCell ref="AH13:AH14"/>
  </mergeCells>
  <phoneticPr fontId="35" type="noConversion"/>
  <pageMargins left="0.7" right="0.7" top="0.3" bottom="0.75" header="0.3" footer="0.3"/>
  <pageSetup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AQ129"/>
  <sheetViews>
    <sheetView showGridLines="0" topLeftCell="B104" zoomScale="90" zoomScaleNormal="90" workbookViewId="0">
      <selection activeCell="E108" sqref="E108"/>
    </sheetView>
  </sheetViews>
  <sheetFormatPr baseColWidth="10" defaultColWidth="11.453125" defaultRowHeight="17" x14ac:dyDescent="0.3"/>
  <cols>
    <col min="1" max="1" width="2.54296875" style="100" customWidth="1"/>
    <col min="2" max="2" width="5.54296875" style="133" customWidth="1"/>
    <col min="3" max="3" width="46.7265625" style="350" customWidth="1"/>
    <col min="4" max="4" width="20.7265625" style="340" customWidth="1"/>
    <col min="5" max="5" width="28.7265625" style="336" customWidth="1"/>
    <col min="6" max="6" width="6.54296875" style="336" customWidth="1"/>
    <col min="7" max="7" width="10.453125" style="336" customWidth="1"/>
    <col min="8" max="8" width="12.81640625" style="336" customWidth="1"/>
    <col min="9" max="9" width="11.81640625" style="336" hidden="1" customWidth="1"/>
    <col min="10" max="10" width="12.1796875" style="336" hidden="1" customWidth="1"/>
    <col min="11" max="11" width="11.54296875" style="336" hidden="1" customWidth="1"/>
    <col min="12" max="12" width="12" style="336" hidden="1" customWidth="1"/>
    <col min="13" max="13" width="8.453125" style="336" hidden="1" customWidth="1"/>
    <col min="14" max="14" width="7.26953125" style="336" hidden="1" customWidth="1"/>
    <col min="15" max="15" width="13.26953125" style="336" customWidth="1"/>
    <col min="16" max="16" width="8.7265625" style="336" hidden="1" customWidth="1"/>
    <col min="17" max="17" width="13.1796875" style="336" hidden="1" customWidth="1"/>
    <col min="18" max="20" width="11" style="336" hidden="1" customWidth="1"/>
    <col min="21" max="22" width="13.1796875" style="336" hidden="1" customWidth="1"/>
    <col min="23" max="23" width="10.54296875" style="336" hidden="1" customWidth="1"/>
    <col min="24" max="24" width="10.453125" style="336" hidden="1" customWidth="1"/>
    <col min="25" max="25" width="13.1796875" style="336" hidden="1" customWidth="1"/>
    <col min="26" max="26" width="11.54296875" style="336" hidden="1" customWidth="1"/>
    <col min="27" max="27" width="7.7265625" style="336" hidden="1" customWidth="1"/>
    <col min="28" max="28" width="10.453125" style="336" customWidth="1"/>
    <col min="29" max="29" width="11.453125" style="336" customWidth="1"/>
    <col min="30" max="30" width="11.26953125" style="336" hidden="1" customWidth="1"/>
    <col min="31" max="31" width="10.453125" style="336" hidden="1" customWidth="1"/>
    <col min="32" max="32" width="12.26953125" style="336" hidden="1" customWidth="1"/>
    <col min="33" max="33" width="13" style="336" hidden="1" customWidth="1"/>
    <col min="34" max="34" width="11.81640625" style="336" hidden="1" customWidth="1"/>
    <col min="35" max="35" width="13.453125" style="133" customWidth="1"/>
    <col min="36" max="36" width="30.1796875" style="100" customWidth="1"/>
    <col min="37" max="37" width="11.453125" style="100"/>
    <col min="38" max="38" width="11.453125" style="100" customWidth="1"/>
    <col min="39" max="16384" width="11.453125" style="100"/>
  </cols>
  <sheetData>
    <row r="7" spans="1:43" ht="30" customHeight="1" x14ac:dyDescent="0.25">
      <c r="B7" s="351"/>
      <c r="C7" s="561" t="s">
        <v>107</v>
      </c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1"/>
      <c r="AF7" s="561"/>
      <c r="AG7" s="561"/>
      <c r="AH7" s="561"/>
      <c r="AI7" s="561"/>
      <c r="AJ7" s="561"/>
      <c r="AK7" s="225"/>
      <c r="AL7" s="225"/>
    </row>
    <row r="8" spans="1:43" s="99" customFormat="1" ht="9" customHeight="1" x14ac:dyDescent="0.25">
      <c r="A8" s="100"/>
      <c r="B8" s="562"/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2"/>
      <c r="AG8" s="562"/>
      <c r="AH8" s="562"/>
      <c r="AI8" s="562"/>
      <c r="AJ8" s="181"/>
      <c r="AK8" s="226"/>
      <c r="AL8" s="226"/>
    </row>
    <row r="9" spans="1:43" s="99" customFormat="1" ht="13.5" x14ac:dyDescent="0.25">
      <c r="A9" s="100"/>
      <c r="B9" s="548" t="str">
        <f>REGIDORES!B11</f>
        <v>NOMINA DEL 1 AL 15 DE ENERO DEL 2022</v>
      </c>
      <c r="C9" s="548"/>
      <c r="D9" s="548"/>
      <c r="E9" s="548"/>
      <c r="F9" s="548"/>
      <c r="G9" s="548"/>
      <c r="H9" s="548"/>
      <c r="I9" s="548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8"/>
      <c r="W9" s="548"/>
      <c r="X9" s="548"/>
      <c r="Y9" s="548"/>
      <c r="Z9" s="548"/>
      <c r="AA9" s="548"/>
      <c r="AB9" s="548"/>
      <c r="AC9" s="548"/>
      <c r="AD9" s="548"/>
      <c r="AE9" s="548"/>
      <c r="AF9" s="548"/>
      <c r="AG9" s="548"/>
      <c r="AH9" s="548"/>
      <c r="AI9" s="548"/>
      <c r="AJ9" s="548"/>
      <c r="AK9" s="226"/>
      <c r="AL9" s="226"/>
    </row>
    <row r="10" spans="1:43" s="99" customFormat="1" ht="17.5" x14ac:dyDescent="0.25">
      <c r="A10" s="100"/>
      <c r="B10" s="566"/>
      <c r="C10" s="543"/>
      <c r="D10" s="543"/>
      <c r="E10" s="567"/>
      <c r="F10" s="307" t="s">
        <v>277</v>
      </c>
      <c r="G10" s="307" t="s">
        <v>9</v>
      </c>
      <c r="H10" s="563" t="s">
        <v>2</v>
      </c>
      <c r="I10" s="563"/>
      <c r="J10" s="563"/>
      <c r="K10" s="563"/>
      <c r="L10" s="563"/>
      <c r="M10" s="563"/>
      <c r="N10" s="563"/>
      <c r="O10" s="563"/>
      <c r="P10" s="307"/>
      <c r="Q10" s="307" t="s">
        <v>48</v>
      </c>
      <c r="R10" s="307"/>
      <c r="S10" s="563" t="s">
        <v>30</v>
      </c>
      <c r="T10" s="563"/>
      <c r="U10" s="563"/>
      <c r="V10" s="563"/>
      <c r="W10" s="563"/>
      <c r="X10" s="563"/>
      <c r="Y10" s="307" t="s">
        <v>278</v>
      </c>
      <c r="Z10" s="307" t="s">
        <v>31</v>
      </c>
      <c r="AA10" s="307"/>
      <c r="AB10" s="549" t="s">
        <v>202</v>
      </c>
      <c r="AC10" s="556" t="s">
        <v>3</v>
      </c>
      <c r="AD10" s="557"/>
      <c r="AE10" s="557"/>
      <c r="AF10" s="557"/>
      <c r="AG10" s="557"/>
      <c r="AH10" s="557"/>
      <c r="AI10" s="558"/>
      <c r="AJ10" s="545" t="s">
        <v>100</v>
      </c>
      <c r="AK10" s="226"/>
      <c r="AL10" s="226"/>
    </row>
    <row r="11" spans="1:43" s="99" customFormat="1" ht="12.5" x14ac:dyDescent="0.25">
      <c r="A11" s="100"/>
      <c r="B11" s="553" t="s">
        <v>279</v>
      </c>
      <c r="C11" s="551" t="s">
        <v>43</v>
      </c>
      <c r="D11" s="549" t="s">
        <v>101</v>
      </c>
      <c r="E11" s="549" t="s">
        <v>214</v>
      </c>
      <c r="F11" s="317" t="s">
        <v>44</v>
      </c>
      <c r="G11" s="307" t="s">
        <v>45</v>
      </c>
      <c r="H11" s="307" t="s">
        <v>9</v>
      </c>
      <c r="I11" s="307" t="s">
        <v>46</v>
      </c>
      <c r="J11" s="307" t="s">
        <v>46</v>
      </c>
      <c r="K11" s="307" t="s">
        <v>73</v>
      </c>
      <c r="L11" s="307" t="s">
        <v>48</v>
      </c>
      <c r="M11" s="307" t="s">
        <v>50</v>
      </c>
      <c r="N11" s="307" t="s">
        <v>50</v>
      </c>
      <c r="O11" s="307" t="s">
        <v>53</v>
      </c>
      <c r="P11" s="307"/>
      <c r="Q11" s="307" t="s">
        <v>49</v>
      </c>
      <c r="R11" s="307" t="s">
        <v>56</v>
      </c>
      <c r="S11" s="307" t="s">
        <v>33</v>
      </c>
      <c r="T11" s="307" t="s">
        <v>58</v>
      </c>
      <c r="U11" s="307" t="s">
        <v>60</v>
      </c>
      <c r="V11" s="307" t="s">
        <v>61</v>
      </c>
      <c r="W11" s="307" t="s">
        <v>35</v>
      </c>
      <c r="X11" s="307" t="s">
        <v>31</v>
      </c>
      <c r="Y11" s="307" t="s">
        <v>64</v>
      </c>
      <c r="Z11" s="307" t="s">
        <v>65</v>
      </c>
      <c r="AA11" s="307"/>
      <c r="AB11" s="555"/>
      <c r="AC11" s="549" t="s">
        <v>4</v>
      </c>
      <c r="AD11" s="307" t="s">
        <v>5</v>
      </c>
      <c r="AE11" s="307" t="s">
        <v>278</v>
      </c>
      <c r="AF11" s="307" t="s">
        <v>74</v>
      </c>
      <c r="AG11" s="307" t="s">
        <v>99</v>
      </c>
      <c r="AH11" s="549" t="s">
        <v>309</v>
      </c>
      <c r="AI11" s="559" t="s">
        <v>310</v>
      </c>
      <c r="AJ11" s="546"/>
      <c r="AK11" s="226"/>
      <c r="AL11" s="226"/>
      <c r="AP11" s="117"/>
      <c r="AQ11" s="105" t="s">
        <v>205</v>
      </c>
    </row>
    <row r="12" spans="1:43" s="99" customFormat="1" ht="12" customHeight="1" x14ac:dyDescent="0.25">
      <c r="A12" s="100"/>
      <c r="B12" s="554"/>
      <c r="C12" s="552"/>
      <c r="D12" s="550"/>
      <c r="E12" s="550"/>
      <c r="F12" s="307"/>
      <c r="G12" s="307"/>
      <c r="H12" s="307" t="s">
        <v>70</v>
      </c>
      <c r="I12" s="307" t="s">
        <v>76</v>
      </c>
      <c r="J12" s="307" t="s">
        <v>47</v>
      </c>
      <c r="K12" s="307"/>
      <c r="L12" s="307" t="s">
        <v>49</v>
      </c>
      <c r="M12" s="307" t="s">
        <v>51</v>
      </c>
      <c r="N12" s="307" t="s">
        <v>52</v>
      </c>
      <c r="O12" s="307" t="s">
        <v>280</v>
      </c>
      <c r="P12" s="307"/>
      <c r="Q12" s="307" t="s">
        <v>66</v>
      </c>
      <c r="R12" s="307" t="s">
        <v>57</v>
      </c>
      <c r="S12" s="307" t="s">
        <v>34</v>
      </c>
      <c r="T12" s="307" t="s">
        <v>59</v>
      </c>
      <c r="U12" s="307" t="s">
        <v>59</v>
      </c>
      <c r="V12" s="307" t="s">
        <v>62</v>
      </c>
      <c r="W12" s="307" t="s">
        <v>36</v>
      </c>
      <c r="X12" s="307" t="s">
        <v>63</v>
      </c>
      <c r="Y12" s="307" t="s">
        <v>40</v>
      </c>
      <c r="Z12" s="307" t="s">
        <v>538</v>
      </c>
      <c r="AA12" s="307"/>
      <c r="AB12" s="550"/>
      <c r="AC12" s="550"/>
      <c r="AD12" s="307"/>
      <c r="AE12" s="307" t="s">
        <v>72</v>
      </c>
      <c r="AF12" s="307" t="s">
        <v>75</v>
      </c>
      <c r="AG12" s="307"/>
      <c r="AH12" s="550"/>
      <c r="AI12" s="560"/>
      <c r="AJ12" s="547"/>
      <c r="AK12" s="226"/>
      <c r="AL12" s="226"/>
      <c r="AP12" s="122"/>
      <c r="AQ12" s="105" t="s">
        <v>206</v>
      </c>
    </row>
    <row r="13" spans="1:43" s="99" customFormat="1" ht="24" customHeight="1" x14ac:dyDescent="0.25">
      <c r="A13" s="100"/>
      <c r="B13" s="544" t="s">
        <v>108</v>
      </c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4"/>
      <c r="AI13" s="544"/>
      <c r="AJ13" s="544"/>
      <c r="AK13" s="226"/>
      <c r="AL13" s="226"/>
    </row>
    <row r="14" spans="1:43" s="105" customFormat="1" ht="31.5" customHeight="1" x14ac:dyDescent="0.25">
      <c r="A14" s="103"/>
      <c r="B14" s="309">
        <v>1</v>
      </c>
      <c r="C14" s="344" t="s">
        <v>415</v>
      </c>
      <c r="D14" s="318" t="s">
        <v>192</v>
      </c>
      <c r="E14" s="341"/>
      <c r="F14" s="318">
        <v>15</v>
      </c>
      <c r="G14" s="319">
        <v>1427.133</v>
      </c>
      <c r="H14" s="320">
        <f>ROUND(F14*G14,2)</f>
        <v>21407</v>
      </c>
      <c r="I14" s="321">
        <v>0</v>
      </c>
      <c r="J14" s="321">
        <v>0</v>
      </c>
      <c r="K14" s="321">
        <v>0</v>
      </c>
      <c r="L14" s="321">
        <v>0</v>
      </c>
      <c r="M14" s="321">
        <v>0</v>
      </c>
      <c r="N14" s="321">
        <v>0</v>
      </c>
      <c r="O14" s="320">
        <f t="shared" ref="O14:O19" si="0">SUM(H14:N14)</f>
        <v>21407</v>
      </c>
      <c r="P14" s="322"/>
      <c r="Q14" s="320">
        <f>IF(G14=47.16,0,IF(G14&gt;47.16,L14*0.5,0))</f>
        <v>0</v>
      </c>
      <c r="R14" s="320">
        <f t="shared" ref="R14:R19" si="1">H14+I14+J14+M14+Q14+K14</f>
        <v>21407</v>
      </c>
      <c r="S14" s="320">
        <f t="shared" ref="S14:S19" si="2">VLOOKUP(R14,TARIFA1,1)</f>
        <v>20988.91</v>
      </c>
      <c r="T14" s="320">
        <f t="shared" ref="T14:T19" si="3">R14-S14</f>
        <v>418.09000000000015</v>
      </c>
      <c r="U14" s="323">
        <f t="shared" ref="U14:U19" si="4">VLOOKUP(R14,TARIFA1,3)</f>
        <v>0.3</v>
      </c>
      <c r="V14" s="320">
        <f t="shared" ref="V14:V19" si="5">T14*U14</f>
        <v>125.42700000000004</v>
      </c>
      <c r="W14" s="320">
        <f t="shared" ref="W14:W19" si="6">VLOOKUP(R14,TARIFA1,2)</f>
        <v>3937.8</v>
      </c>
      <c r="X14" s="320">
        <f t="shared" ref="X14:X19" si="7">V14+W14</f>
        <v>4063.2270000000003</v>
      </c>
      <c r="Y14" s="320">
        <f t="shared" ref="Y14:Y19" si="8">VLOOKUP(R14,Credito1,2)</f>
        <v>0</v>
      </c>
      <c r="Z14" s="320">
        <f t="shared" ref="Z14:Z19" si="9">ROUND(X14-Y14,2)</f>
        <v>4063.23</v>
      </c>
      <c r="AA14" s="324"/>
      <c r="AB14" s="320">
        <f t="shared" ref="AB14:AB19" si="10">-IF(Z14&gt;0,0,Z14)</f>
        <v>0</v>
      </c>
      <c r="AC14" s="320">
        <f t="shared" ref="AC14:AC19" si="11">IF(Z14&lt;0,0,Z14)</f>
        <v>4063.23</v>
      </c>
      <c r="AD14" s="320">
        <v>0</v>
      </c>
      <c r="AE14" s="321">
        <v>0</v>
      </c>
      <c r="AF14" s="321">
        <v>0</v>
      </c>
      <c r="AG14" s="321">
        <v>0</v>
      </c>
      <c r="AH14" s="320">
        <f t="shared" ref="AH14:AH19" si="12">SUM(AC14:AG14)</f>
        <v>4063.23</v>
      </c>
      <c r="AI14" s="311">
        <f t="shared" ref="AI14:AI19" si="13">O14+AB14-AH14</f>
        <v>17343.77</v>
      </c>
      <c r="AJ14" s="315"/>
      <c r="AK14" s="226"/>
      <c r="AL14" s="226"/>
    </row>
    <row r="15" spans="1:43" s="105" customFormat="1" ht="25.5" customHeight="1" x14ac:dyDescent="0.25">
      <c r="A15" s="103"/>
      <c r="B15" s="309">
        <v>2</v>
      </c>
      <c r="C15" s="344" t="s">
        <v>341</v>
      </c>
      <c r="D15" s="318" t="s">
        <v>224</v>
      </c>
      <c r="E15" s="341"/>
      <c r="F15" s="318">
        <v>15</v>
      </c>
      <c r="G15" s="319">
        <v>560.13300000000004</v>
      </c>
      <c r="H15" s="320">
        <f t="shared" ref="H15:H19" si="14">ROUND(F15*G15,2)</f>
        <v>8402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0">
        <f t="shared" si="0"/>
        <v>8402</v>
      </c>
      <c r="P15" s="322"/>
      <c r="Q15" s="320">
        <v>0</v>
      </c>
      <c r="R15" s="320">
        <f t="shared" si="1"/>
        <v>8402</v>
      </c>
      <c r="S15" s="320">
        <f t="shared" si="2"/>
        <v>6602.71</v>
      </c>
      <c r="T15" s="320">
        <f t="shared" si="3"/>
        <v>1799.29</v>
      </c>
      <c r="U15" s="323">
        <f t="shared" si="4"/>
        <v>0.21360000000000001</v>
      </c>
      <c r="V15" s="320">
        <f t="shared" si="5"/>
        <v>384.32834400000002</v>
      </c>
      <c r="W15" s="320">
        <f t="shared" si="6"/>
        <v>699.3</v>
      </c>
      <c r="X15" s="320">
        <f t="shared" si="7"/>
        <v>1083.628344</v>
      </c>
      <c r="Y15" s="320">
        <f t="shared" si="8"/>
        <v>0</v>
      </c>
      <c r="Z15" s="320">
        <f t="shared" si="9"/>
        <v>1083.6300000000001</v>
      </c>
      <c r="AA15" s="324"/>
      <c r="AB15" s="320">
        <f t="shared" si="10"/>
        <v>0</v>
      </c>
      <c r="AC15" s="320">
        <f t="shared" si="11"/>
        <v>1083.6300000000001</v>
      </c>
      <c r="AD15" s="320">
        <v>0</v>
      </c>
      <c r="AE15" s="321">
        <v>0</v>
      </c>
      <c r="AF15" s="321">
        <v>0</v>
      </c>
      <c r="AG15" s="321">
        <v>0</v>
      </c>
      <c r="AH15" s="320">
        <f t="shared" si="12"/>
        <v>1083.6300000000001</v>
      </c>
      <c r="AI15" s="311">
        <f t="shared" si="13"/>
        <v>7318.37</v>
      </c>
      <c r="AJ15" s="315"/>
      <c r="AK15" s="226"/>
      <c r="AL15" s="226"/>
    </row>
    <row r="16" spans="1:43" s="103" customFormat="1" ht="35.25" customHeight="1" x14ac:dyDescent="0.25">
      <c r="B16" s="309">
        <v>3</v>
      </c>
      <c r="C16" s="344" t="s">
        <v>281</v>
      </c>
      <c r="D16" s="318" t="s">
        <v>250</v>
      </c>
      <c r="E16" s="318"/>
      <c r="F16" s="318">
        <v>15</v>
      </c>
      <c r="G16" s="319">
        <v>560</v>
      </c>
      <c r="H16" s="320">
        <f t="shared" si="14"/>
        <v>8400</v>
      </c>
      <c r="I16" s="321">
        <v>0</v>
      </c>
      <c r="J16" s="321">
        <v>0</v>
      </c>
      <c r="K16" s="321">
        <v>0</v>
      </c>
      <c r="L16" s="321">
        <v>0</v>
      </c>
      <c r="M16" s="321">
        <v>0</v>
      </c>
      <c r="N16" s="321">
        <v>0</v>
      </c>
      <c r="O16" s="320">
        <f t="shared" si="0"/>
        <v>8400</v>
      </c>
      <c r="P16" s="322"/>
      <c r="Q16" s="320">
        <f>IF(G16=47.16,0,IF(G16&gt;47.16,L16*0.5,0))</f>
        <v>0</v>
      </c>
      <c r="R16" s="320">
        <f t="shared" si="1"/>
        <v>8400</v>
      </c>
      <c r="S16" s="320">
        <f t="shared" si="2"/>
        <v>6602.71</v>
      </c>
      <c r="T16" s="320">
        <f t="shared" si="3"/>
        <v>1797.29</v>
      </c>
      <c r="U16" s="323">
        <f t="shared" si="4"/>
        <v>0.21360000000000001</v>
      </c>
      <c r="V16" s="320">
        <f t="shared" si="5"/>
        <v>383.90114399999999</v>
      </c>
      <c r="W16" s="320">
        <f t="shared" si="6"/>
        <v>699.3</v>
      </c>
      <c r="X16" s="320">
        <f t="shared" si="7"/>
        <v>1083.2011439999999</v>
      </c>
      <c r="Y16" s="320">
        <f t="shared" si="8"/>
        <v>0</v>
      </c>
      <c r="Z16" s="320">
        <f t="shared" si="9"/>
        <v>1083.2</v>
      </c>
      <c r="AA16" s="324"/>
      <c r="AB16" s="320">
        <f t="shared" si="10"/>
        <v>0</v>
      </c>
      <c r="AC16" s="320">
        <f t="shared" si="11"/>
        <v>1083.2</v>
      </c>
      <c r="AD16" s="320">
        <v>0</v>
      </c>
      <c r="AE16" s="321">
        <v>0</v>
      </c>
      <c r="AF16" s="321">
        <v>0</v>
      </c>
      <c r="AG16" s="325">
        <v>0</v>
      </c>
      <c r="AH16" s="320">
        <f t="shared" si="12"/>
        <v>1083.2</v>
      </c>
      <c r="AI16" s="311">
        <f t="shared" si="13"/>
        <v>7316.8</v>
      </c>
      <c r="AJ16" s="315"/>
      <c r="AK16" s="225"/>
      <c r="AL16" s="225"/>
    </row>
    <row r="17" spans="1:38" s="99" customFormat="1" ht="24" customHeight="1" x14ac:dyDescent="0.25">
      <c r="A17" s="100"/>
      <c r="B17" s="309">
        <v>4</v>
      </c>
      <c r="C17" s="344" t="s">
        <v>368</v>
      </c>
      <c r="D17" s="318" t="s">
        <v>176</v>
      </c>
      <c r="E17" s="341"/>
      <c r="F17" s="318">
        <v>15</v>
      </c>
      <c r="G17" s="319">
        <v>179.13300000000001</v>
      </c>
      <c r="H17" s="320">
        <f t="shared" si="14"/>
        <v>2687</v>
      </c>
      <c r="I17" s="321">
        <v>0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320">
        <f t="shared" si="0"/>
        <v>2687</v>
      </c>
      <c r="P17" s="322"/>
      <c r="Q17" s="320">
        <f>IF(G17=47.16,0,IF(G17&gt;47.16,L17*0.5,0))</f>
        <v>0</v>
      </c>
      <c r="R17" s="320">
        <f t="shared" si="1"/>
        <v>2687</v>
      </c>
      <c r="S17" s="320">
        <f t="shared" si="2"/>
        <v>318.01</v>
      </c>
      <c r="T17" s="320">
        <f t="shared" si="3"/>
        <v>2368.9899999999998</v>
      </c>
      <c r="U17" s="323">
        <f t="shared" si="4"/>
        <v>6.4000000000000001E-2</v>
      </c>
      <c r="V17" s="320">
        <f t="shared" si="5"/>
        <v>151.61535999999998</v>
      </c>
      <c r="W17" s="320">
        <f t="shared" si="6"/>
        <v>6.15</v>
      </c>
      <c r="X17" s="320">
        <f t="shared" si="7"/>
        <v>157.76535999999999</v>
      </c>
      <c r="Y17" s="320">
        <f t="shared" si="8"/>
        <v>145.35</v>
      </c>
      <c r="Z17" s="320">
        <f t="shared" si="9"/>
        <v>12.42</v>
      </c>
      <c r="AA17" s="324"/>
      <c r="AB17" s="320">
        <f t="shared" si="10"/>
        <v>0</v>
      </c>
      <c r="AC17" s="320">
        <f t="shared" si="11"/>
        <v>12.42</v>
      </c>
      <c r="AD17" s="320">
        <v>0</v>
      </c>
      <c r="AE17" s="321">
        <v>0</v>
      </c>
      <c r="AF17" s="321">
        <v>0</v>
      </c>
      <c r="AG17" s="325">
        <v>0</v>
      </c>
      <c r="AH17" s="320">
        <f t="shared" si="12"/>
        <v>12.42</v>
      </c>
      <c r="AI17" s="311">
        <f t="shared" si="13"/>
        <v>2674.58</v>
      </c>
      <c r="AJ17" s="315"/>
      <c r="AK17" s="226"/>
      <c r="AL17" s="226"/>
    </row>
    <row r="18" spans="1:38" ht="23.25" customHeight="1" x14ac:dyDescent="0.25">
      <c r="B18" s="309">
        <v>5</v>
      </c>
      <c r="C18" s="344" t="s">
        <v>342</v>
      </c>
      <c r="D18" s="318" t="s">
        <v>230</v>
      </c>
      <c r="E18" s="341"/>
      <c r="F18" s="318">
        <v>15</v>
      </c>
      <c r="G18" s="319">
        <v>266.66660000000002</v>
      </c>
      <c r="H18" s="320">
        <f t="shared" si="14"/>
        <v>4000</v>
      </c>
      <c r="I18" s="321">
        <v>0</v>
      </c>
      <c r="J18" s="321">
        <v>0</v>
      </c>
      <c r="K18" s="321">
        <v>0</v>
      </c>
      <c r="L18" s="321">
        <v>0</v>
      </c>
      <c r="M18" s="321">
        <v>0</v>
      </c>
      <c r="N18" s="321">
        <v>0</v>
      </c>
      <c r="O18" s="320">
        <f t="shared" si="0"/>
        <v>4000</v>
      </c>
      <c r="P18" s="322"/>
      <c r="Q18" s="320">
        <v>0</v>
      </c>
      <c r="R18" s="320">
        <f t="shared" si="1"/>
        <v>4000</v>
      </c>
      <c r="S18" s="320">
        <f t="shared" si="2"/>
        <v>2699.41</v>
      </c>
      <c r="T18" s="320">
        <f t="shared" si="3"/>
        <v>1300.5900000000001</v>
      </c>
      <c r="U18" s="323">
        <f t="shared" si="4"/>
        <v>0.10879999999999999</v>
      </c>
      <c r="V18" s="320">
        <f t="shared" si="5"/>
        <v>141.50419200000002</v>
      </c>
      <c r="W18" s="320">
        <f t="shared" si="6"/>
        <v>158.55000000000001</v>
      </c>
      <c r="X18" s="320">
        <f t="shared" si="7"/>
        <v>300.05419200000006</v>
      </c>
      <c r="Y18" s="320">
        <f t="shared" si="8"/>
        <v>0</v>
      </c>
      <c r="Z18" s="320">
        <f t="shared" si="9"/>
        <v>300.05</v>
      </c>
      <c r="AA18" s="324"/>
      <c r="AB18" s="320">
        <f t="shared" si="10"/>
        <v>0</v>
      </c>
      <c r="AC18" s="320">
        <f t="shared" si="11"/>
        <v>300.05</v>
      </c>
      <c r="AD18" s="320">
        <v>0</v>
      </c>
      <c r="AE18" s="321">
        <v>0</v>
      </c>
      <c r="AF18" s="321">
        <v>0</v>
      </c>
      <c r="AG18" s="325">
        <v>0</v>
      </c>
      <c r="AH18" s="320">
        <f t="shared" si="12"/>
        <v>300.05</v>
      </c>
      <c r="AI18" s="311">
        <f t="shared" si="13"/>
        <v>3699.95</v>
      </c>
      <c r="AJ18" s="315"/>
      <c r="AK18" s="225"/>
      <c r="AL18" s="225"/>
    </row>
    <row r="19" spans="1:38" s="105" customFormat="1" ht="24" customHeight="1" x14ac:dyDescent="0.25">
      <c r="A19" s="103"/>
      <c r="B19" s="309">
        <v>6</v>
      </c>
      <c r="C19" s="344" t="s">
        <v>377</v>
      </c>
      <c r="D19" s="318" t="s">
        <v>191</v>
      </c>
      <c r="E19" s="341"/>
      <c r="F19" s="318">
        <v>15</v>
      </c>
      <c r="G19" s="319">
        <v>233.333</v>
      </c>
      <c r="H19" s="320">
        <f t="shared" si="14"/>
        <v>3500</v>
      </c>
      <c r="I19" s="321">
        <v>0</v>
      </c>
      <c r="J19" s="321">
        <v>0</v>
      </c>
      <c r="K19" s="321">
        <v>0</v>
      </c>
      <c r="L19" s="321">
        <v>0</v>
      </c>
      <c r="M19" s="321">
        <v>0</v>
      </c>
      <c r="N19" s="321">
        <v>0</v>
      </c>
      <c r="O19" s="320">
        <f t="shared" si="0"/>
        <v>3500</v>
      </c>
      <c r="P19" s="322"/>
      <c r="Q19" s="320">
        <f>IF(G19=47.16,0,IF(G19&gt;47.16,L19*0.5,0))</f>
        <v>0</v>
      </c>
      <c r="R19" s="320">
        <f t="shared" si="1"/>
        <v>3500</v>
      </c>
      <c r="S19" s="320">
        <f t="shared" si="2"/>
        <v>2699.41</v>
      </c>
      <c r="T19" s="320">
        <f t="shared" si="3"/>
        <v>800.59000000000015</v>
      </c>
      <c r="U19" s="323">
        <f t="shared" si="4"/>
        <v>0.10879999999999999</v>
      </c>
      <c r="V19" s="320">
        <f t="shared" si="5"/>
        <v>87.104192000000012</v>
      </c>
      <c r="W19" s="320">
        <f t="shared" si="6"/>
        <v>158.55000000000001</v>
      </c>
      <c r="X19" s="320">
        <f t="shared" si="7"/>
        <v>245.65419200000002</v>
      </c>
      <c r="Y19" s="320">
        <f t="shared" si="8"/>
        <v>125.1</v>
      </c>
      <c r="Z19" s="320">
        <f t="shared" si="9"/>
        <v>120.55</v>
      </c>
      <c r="AA19" s="324"/>
      <c r="AB19" s="320">
        <f t="shared" si="10"/>
        <v>0</v>
      </c>
      <c r="AC19" s="320">
        <f t="shared" si="11"/>
        <v>120.55</v>
      </c>
      <c r="AD19" s="320">
        <v>0</v>
      </c>
      <c r="AE19" s="321">
        <v>0</v>
      </c>
      <c r="AF19" s="321">
        <v>0</v>
      </c>
      <c r="AG19" s="325">
        <v>0</v>
      </c>
      <c r="AH19" s="320">
        <f t="shared" si="12"/>
        <v>120.55</v>
      </c>
      <c r="AI19" s="311">
        <f t="shared" si="13"/>
        <v>3379.45</v>
      </c>
      <c r="AJ19" s="315"/>
      <c r="AK19" s="226"/>
      <c r="AL19" s="226"/>
    </row>
    <row r="20" spans="1:38" s="107" customFormat="1" ht="24" customHeight="1" x14ac:dyDescent="0.3">
      <c r="A20" s="106"/>
      <c r="B20" s="308"/>
      <c r="C20" s="345"/>
      <c r="D20" s="328" t="s">
        <v>236</v>
      </c>
      <c r="E20" s="538"/>
      <c r="F20" s="539"/>
      <c r="G20" s="326"/>
      <c r="H20" s="327">
        <f t="shared" ref="H20:AI20" si="15">SUM(H14:H19)</f>
        <v>48396</v>
      </c>
      <c r="I20" s="327">
        <f t="shared" si="15"/>
        <v>0</v>
      </c>
      <c r="J20" s="327">
        <f t="shared" si="15"/>
        <v>0</v>
      </c>
      <c r="K20" s="327">
        <f t="shared" si="15"/>
        <v>0</v>
      </c>
      <c r="L20" s="327">
        <f t="shared" si="15"/>
        <v>0</v>
      </c>
      <c r="M20" s="327">
        <f t="shared" si="15"/>
        <v>0</v>
      </c>
      <c r="N20" s="327">
        <f t="shared" si="15"/>
        <v>0</v>
      </c>
      <c r="O20" s="327">
        <f t="shared" si="15"/>
        <v>48396</v>
      </c>
      <c r="P20" s="327">
        <f t="shared" si="15"/>
        <v>0</v>
      </c>
      <c r="Q20" s="327">
        <f t="shared" si="15"/>
        <v>0</v>
      </c>
      <c r="R20" s="327">
        <f t="shared" si="15"/>
        <v>48396</v>
      </c>
      <c r="S20" s="327">
        <f t="shared" si="15"/>
        <v>39911.160000000003</v>
      </c>
      <c r="T20" s="327">
        <f t="shared" si="15"/>
        <v>8484.84</v>
      </c>
      <c r="U20" s="327">
        <f t="shared" si="15"/>
        <v>1.0088000000000001</v>
      </c>
      <c r="V20" s="327">
        <f t="shared" si="15"/>
        <v>1273.8802320000002</v>
      </c>
      <c r="W20" s="327">
        <f t="shared" si="15"/>
        <v>5659.6500000000005</v>
      </c>
      <c r="X20" s="327">
        <f t="shared" si="15"/>
        <v>6933.530232000001</v>
      </c>
      <c r="Y20" s="327">
        <f t="shared" si="15"/>
        <v>270.45</v>
      </c>
      <c r="Z20" s="327">
        <f t="shared" si="15"/>
        <v>6663.0800000000008</v>
      </c>
      <c r="AA20" s="327">
        <f t="shared" si="15"/>
        <v>0</v>
      </c>
      <c r="AB20" s="327">
        <f t="shared" si="15"/>
        <v>0</v>
      </c>
      <c r="AC20" s="327">
        <f t="shared" si="15"/>
        <v>6663.0800000000008</v>
      </c>
      <c r="AD20" s="327">
        <f t="shared" si="15"/>
        <v>0</v>
      </c>
      <c r="AE20" s="327">
        <f t="shared" si="15"/>
        <v>0</v>
      </c>
      <c r="AF20" s="327">
        <f t="shared" si="15"/>
        <v>0</v>
      </c>
      <c r="AG20" s="327">
        <f t="shared" si="15"/>
        <v>0</v>
      </c>
      <c r="AH20" s="327">
        <f t="shared" si="15"/>
        <v>6663.0800000000008</v>
      </c>
      <c r="AI20" s="312">
        <f t="shared" si="15"/>
        <v>41732.919999999991</v>
      </c>
      <c r="AJ20" s="316"/>
      <c r="AK20" s="227"/>
      <c r="AL20" s="227">
        <f>O20+AB20-AH20</f>
        <v>41732.92</v>
      </c>
    </row>
    <row r="21" spans="1:38" s="99" customFormat="1" ht="24" customHeight="1" x14ac:dyDescent="0.25">
      <c r="A21" s="100"/>
      <c r="B21" s="540" t="s">
        <v>112</v>
      </c>
      <c r="C21" s="541"/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541"/>
      <c r="W21" s="54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2"/>
      <c r="AK21" s="226"/>
      <c r="AL21" s="226"/>
    </row>
    <row r="22" spans="1:38" s="105" customFormat="1" ht="24" customHeight="1" x14ac:dyDescent="0.25">
      <c r="A22" s="103"/>
      <c r="B22" s="309">
        <v>7</v>
      </c>
      <c r="C22" s="344" t="s">
        <v>416</v>
      </c>
      <c r="D22" s="318" t="s">
        <v>170</v>
      </c>
      <c r="E22" s="341"/>
      <c r="F22" s="318">
        <v>15</v>
      </c>
      <c r="G22" s="319">
        <v>811.66660000000002</v>
      </c>
      <c r="H22" s="320">
        <f t="shared" ref="H22" si="16">ROUND(F22*G22,2)</f>
        <v>12175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0">
        <f>SUM(H22:N22)</f>
        <v>12175</v>
      </c>
      <c r="P22" s="322"/>
      <c r="Q22" s="320">
        <f>IF(G22=47.16,0,IF(G22&gt;47.16,L22*0.5,0))</f>
        <v>0</v>
      </c>
      <c r="R22" s="320">
        <f>H22+I22+J22+M22+Q22+K22</f>
        <v>12175</v>
      </c>
      <c r="S22" s="320">
        <f>VLOOKUP(R22,TARIFA1,1)</f>
        <v>6602.71</v>
      </c>
      <c r="T22" s="320">
        <f>R22-S22</f>
        <v>5572.29</v>
      </c>
      <c r="U22" s="323">
        <f>VLOOKUP(R22,TARIFA1,3)</f>
        <v>0.21360000000000001</v>
      </c>
      <c r="V22" s="320">
        <f>T22*U22</f>
        <v>1190.2411440000001</v>
      </c>
      <c r="W22" s="320">
        <f>VLOOKUP(R22,TARIFA1,2)</f>
        <v>699.3</v>
      </c>
      <c r="X22" s="320">
        <f>V22+W22</f>
        <v>1889.541144</v>
      </c>
      <c r="Y22" s="320">
        <f>VLOOKUP(R22,Credito1,2)</f>
        <v>0</v>
      </c>
      <c r="Z22" s="320">
        <f>ROUND(X22-Y22,2)</f>
        <v>1889.54</v>
      </c>
      <c r="AA22" s="324"/>
      <c r="AB22" s="320">
        <f>-IF(Z22&gt;0,0,Z22)</f>
        <v>0</v>
      </c>
      <c r="AC22" s="320">
        <f>IF(Z22&lt;0,0,Z22)</f>
        <v>1889.54</v>
      </c>
      <c r="AD22" s="320">
        <v>0</v>
      </c>
      <c r="AE22" s="321">
        <v>0</v>
      </c>
      <c r="AF22" s="321">
        <v>0</v>
      </c>
      <c r="AG22" s="325">
        <v>0</v>
      </c>
      <c r="AH22" s="320">
        <f>SUM(AC22:AG22)</f>
        <v>1889.54</v>
      </c>
      <c r="AI22" s="311">
        <f>O22+AB22-AH22</f>
        <v>10285.459999999999</v>
      </c>
      <c r="AJ22" s="315"/>
      <c r="AK22" s="226"/>
      <c r="AL22" s="226"/>
    </row>
    <row r="23" spans="1:38" s="107" customFormat="1" ht="22.5" customHeight="1" x14ac:dyDescent="0.3">
      <c r="A23" s="106"/>
      <c r="B23" s="308"/>
      <c r="C23" s="345"/>
      <c r="D23" s="328" t="s">
        <v>111</v>
      </c>
      <c r="E23" s="328"/>
      <c r="F23" s="328"/>
      <c r="G23" s="326"/>
      <c r="H23" s="327">
        <f t="shared" ref="H23:Z23" si="17">SUM(H22:H22)</f>
        <v>12175</v>
      </c>
      <c r="I23" s="327">
        <f t="shared" si="17"/>
        <v>0</v>
      </c>
      <c r="J23" s="327">
        <f t="shared" si="17"/>
        <v>0</v>
      </c>
      <c r="K23" s="327">
        <f t="shared" si="17"/>
        <v>0</v>
      </c>
      <c r="L23" s="327">
        <f t="shared" si="17"/>
        <v>0</v>
      </c>
      <c r="M23" s="327">
        <f t="shared" si="17"/>
        <v>0</v>
      </c>
      <c r="N23" s="327">
        <f t="shared" si="17"/>
        <v>0</v>
      </c>
      <c r="O23" s="327">
        <f t="shared" si="17"/>
        <v>12175</v>
      </c>
      <c r="P23" s="327">
        <f t="shared" si="17"/>
        <v>0</v>
      </c>
      <c r="Q23" s="327">
        <f t="shared" si="17"/>
        <v>0</v>
      </c>
      <c r="R23" s="327">
        <f t="shared" si="17"/>
        <v>12175</v>
      </c>
      <c r="S23" s="327">
        <f t="shared" si="17"/>
        <v>6602.71</v>
      </c>
      <c r="T23" s="327">
        <f t="shared" si="17"/>
        <v>5572.29</v>
      </c>
      <c r="U23" s="327">
        <f t="shared" si="17"/>
        <v>0.21360000000000001</v>
      </c>
      <c r="V23" s="327">
        <f t="shared" si="17"/>
        <v>1190.2411440000001</v>
      </c>
      <c r="W23" s="327">
        <f t="shared" si="17"/>
        <v>699.3</v>
      </c>
      <c r="X23" s="327">
        <f t="shared" si="17"/>
        <v>1889.541144</v>
      </c>
      <c r="Y23" s="327">
        <f t="shared" si="17"/>
        <v>0</v>
      </c>
      <c r="Z23" s="327">
        <f t="shared" si="17"/>
        <v>1889.54</v>
      </c>
      <c r="AA23" s="327"/>
      <c r="AB23" s="327">
        <f t="shared" ref="AB23:AI23" si="18">SUM(AB22:AB22)</f>
        <v>0</v>
      </c>
      <c r="AC23" s="327">
        <f t="shared" si="18"/>
        <v>1889.54</v>
      </c>
      <c r="AD23" s="327">
        <f t="shared" si="18"/>
        <v>0</v>
      </c>
      <c r="AE23" s="327">
        <f t="shared" si="18"/>
        <v>0</v>
      </c>
      <c r="AF23" s="327">
        <f t="shared" si="18"/>
        <v>0</v>
      </c>
      <c r="AG23" s="327">
        <f t="shared" si="18"/>
        <v>0</v>
      </c>
      <c r="AH23" s="327">
        <f t="shared" si="18"/>
        <v>1889.54</v>
      </c>
      <c r="AI23" s="312">
        <f t="shared" si="18"/>
        <v>10285.459999999999</v>
      </c>
      <c r="AJ23" s="316"/>
      <c r="AK23" s="227"/>
      <c r="AL23" s="227">
        <f>O23+AB23-AH23</f>
        <v>10285.459999999999</v>
      </c>
    </row>
    <row r="24" spans="1:38" s="103" customFormat="1" ht="22.5" customHeight="1" x14ac:dyDescent="0.25">
      <c r="B24" s="540" t="s">
        <v>171</v>
      </c>
      <c r="C24" s="541"/>
      <c r="D24" s="541"/>
      <c r="E24" s="541"/>
      <c r="F24" s="541"/>
      <c r="G24" s="541"/>
      <c r="H24" s="541"/>
      <c r="I24" s="541"/>
      <c r="J24" s="541"/>
      <c r="K24" s="541"/>
      <c r="L24" s="541"/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W24" s="541"/>
      <c r="X24" s="541"/>
      <c r="Y24" s="541"/>
      <c r="Z24" s="541"/>
      <c r="AA24" s="541"/>
      <c r="AB24" s="541"/>
      <c r="AC24" s="541"/>
      <c r="AD24" s="541"/>
      <c r="AE24" s="541"/>
      <c r="AF24" s="541"/>
      <c r="AG24" s="541"/>
      <c r="AH24" s="541"/>
      <c r="AI24" s="541"/>
      <c r="AJ24" s="542"/>
      <c r="AK24" s="225"/>
      <c r="AL24" s="225"/>
    </row>
    <row r="25" spans="1:38" ht="25.5" customHeight="1" x14ac:dyDescent="0.25">
      <c r="B25" s="309">
        <v>8</v>
      </c>
      <c r="C25" s="344" t="s">
        <v>380</v>
      </c>
      <c r="D25" s="318" t="s">
        <v>113</v>
      </c>
      <c r="E25" s="341"/>
      <c r="F25" s="318">
        <v>15</v>
      </c>
      <c r="G25" s="319">
        <v>400</v>
      </c>
      <c r="H25" s="320">
        <f t="shared" ref="H25:H26" si="19">ROUND(F25*G25,2)</f>
        <v>6000</v>
      </c>
      <c r="I25" s="321">
        <v>0</v>
      </c>
      <c r="J25" s="321">
        <v>0</v>
      </c>
      <c r="K25" s="321">
        <v>0</v>
      </c>
      <c r="L25" s="321">
        <v>0</v>
      </c>
      <c r="M25" s="321">
        <v>0</v>
      </c>
      <c r="N25" s="321">
        <v>0</v>
      </c>
      <c r="O25" s="320">
        <f>SUM(H25:N25)</f>
        <v>6000</v>
      </c>
      <c r="P25" s="322"/>
      <c r="Q25" s="320">
        <f>IF(G25=47.16,0,IF(G25&gt;47.16,L25*0.5,0))</f>
        <v>0</v>
      </c>
      <c r="R25" s="320">
        <f>H25+I25+J25+M25+Q25+K25</f>
        <v>6000</v>
      </c>
      <c r="S25" s="320">
        <f>VLOOKUP(R25,TARIFA1,1)</f>
        <v>5514.76</v>
      </c>
      <c r="T25" s="320">
        <f>R25-S25</f>
        <v>485.23999999999978</v>
      </c>
      <c r="U25" s="323">
        <f>VLOOKUP(R25,TARIFA1,3)</f>
        <v>0.1792</v>
      </c>
      <c r="V25" s="320">
        <f>T25*U25</f>
        <v>86.955007999999964</v>
      </c>
      <c r="W25" s="320">
        <f>VLOOKUP(R25,TARIFA1,2)</f>
        <v>504.3</v>
      </c>
      <c r="X25" s="320">
        <f>V25+W25</f>
        <v>591.25500799999998</v>
      </c>
      <c r="Y25" s="320">
        <f>VLOOKUP(R25,Credito1,2)</f>
        <v>0</v>
      </c>
      <c r="Z25" s="320">
        <f>ROUND(X25-Y25,2)</f>
        <v>591.26</v>
      </c>
      <c r="AA25" s="324"/>
      <c r="AB25" s="320">
        <f>-IF(Z25&gt;0,0,Z25)</f>
        <v>0</v>
      </c>
      <c r="AC25" s="320">
        <f>IF(Z25&lt;0,0,Z25)</f>
        <v>591.26</v>
      </c>
      <c r="AD25" s="320">
        <v>0</v>
      </c>
      <c r="AE25" s="321">
        <v>0</v>
      </c>
      <c r="AF25" s="321">
        <v>0</v>
      </c>
      <c r="AG25" s="325">
        <v>0</v>
      </c>
      <c r="AH25" s="320">
        <f>SUM(AC25:AG25)</f>
        <v>591.26</v>
      </c>
      <c r="AI25" s="311">
        <f>O25+AB25-AH25</f>
        <v>5408.74</v>
      </c>
      <c r="AJ25" s="315"/>
      <c r="AK25" s="225"/>
      <c r="AL25" s="225"/>
    </row>
    <row r="26" spans="1:38" ht="22.5" customHeight="1" x14ac:dyDescent="0.25">
      <c r="B26" s="309">
        <v>9</v>
      </c>
      <c r="C26" s="344" t="s">
        <v>486</v>
      </c>
      <c r="D26" s="318" t="s">
        <v>120</v>
      </c>
      <c r="E26" s="341"/>
      <c r="F26" s="318">
        <v>15</v>
      </c>
      <c r="G26" s="319">
        <v>219.93</v>
      </c>
      <c r="H26" s="320">
        <f t="shared" si="19"/>
        <v>3298.95</v>
      </c>
      <c r="I26" s="321">
        <v>0</v>
      </c>
      <c r="J26" s="321">
        <v>0</v>
      </c>
      <c r="K26" s="321"/>
      <c r="L26" s="321">
        <v>0</v>
      </c>
      <c r="M26" s="321">
        <v>0</v>
      </c>
      <c r="N26" s="321">
        <v>0</v>
      </c>
      <c r="O26" s="320">
        <f>SUM(H26:N26)</f>
        <v>3298.95</v>
      </c>
      <c r="P26" s="322"/>
      <c r="Q26" s="320">
        <v>0</v>
      </c>
      <c r="R26" s="320">
        <f>H26+I26+J26+M26+Q26+K26</f>
        <v>3298.95</v>
      </c>
      <c r="S26" s="320">
        <f>VLOOKUP(R26,TARIFA1,1)</f>
        <v>2699.41</v>
      </c>
      <c r="T26" s="320">
        <f>R26-S26</f>
        <v>599.54</v>
      </c>
      <c r="U26" s="323">
        <f>VLOOKUP(R26,TARIFA1,3)</f>
        <v>0.10879999999999999</v>
      </c>
      <c r="V26" s="320">
        <f>T26*U26</f>
        <v>65.229951999999997</v>
      </c>
      <c r="W26" s="320">
        <f>VLOOKUP(R26,TARIFA1,2)</f>
        <v>158.55000000000001</v>
      </c>
      <c r="X26" s="320">
        <f>V26+W26</f>
        <v>223.77995200000001</v>
      </c>
      <c r="Y26" s="320">
        <f>VLOOKUP(R26,Credito1,2)</f>
        <v>125.1</v>
      </c>
      <c r="Z26" s="320">
        <f>ROUND(X26-Y26,2)</f>
        <v>98.68</v>
      </c>
      <c r="AA26" s="324"/>
      <c r="AB26" s="320">
        <f>-IF(Z26&gt;0,0,Z26)</f>
        <v>0</v>
      </c>
      <c r="AC26" s="320">
        <f>IF(Z26&lt;0,0,Z26)</f>
        <v>98.68</v>
      </c>
      <c r="AD26" s="320">
        <v>0</v>
      </c>
      <c r="AE26" s="321">
        <v>0</v>
      </c>
      <c r="AF26" s="321">
        <v>0</v>
      </c>
      <c r="AG26" s="325">
        <v>0</v>
      </c>
      <c r="AH26" s="320">
        <f>SUM(AC26:AG26)</f>
        <v>98.68</v>
      </c>
      <c r="AI26" s="311">
        <f>O26+AB26-AH26</f>
        <v>3200.27</v>
      </c>
      <c r="AJ26" s="315"/>
      <c r="AK26" s="225"/>
      <c r="AL26" s="225"/>
    </row>
    <row r="27" spans="1:38" s="103" customFormat="1" ht="21" customHeight="1" x14ac:dyDescent="0.25">
      <c r="B27" s="309"/>
      <c r="C27" s="344"/>
      <c r="D27" s="328" t="s">
        <v>111</v>
      </c>
      <c r="E27" s="538"/>
      <c r="F27" s="539"/>
      <c r="G27" s="326"/>
      <c r="H27" s="327">
        <f>SUM(H25:H26)</f>
        <v>9298.9500000000007</v>
      </c>
      <c r="I27" s="327">
        <f t="shared" ref="I27:AI27" si="20">SUM(I25:I26)</f>
        <v>0</v>
      </c>
      <c r="J27" s="327">
        <f t="shared" si="20"/>
        <v>0</v>
      </c>
      <c r="K27" s="327">
        <f t="shared" si="20"/>
        <v>0</v>
      </c>
      <c r="L27" s="327">
        <f t="shared" si="20"/>
        <v>0</v>
      </c>
      <c r="M27" s="327">
        <f t="shared" si="20"/>
        <v>0</v>
      </c>
      <c r="N27" s="327">
        <f t="shared" si="20"/>
        <v>0</v>
      </c>
      <c r="O27" s="327">
        <f t="shared" si="20"/>
        <v>9298.9500000000007</v>
      </c>
      <c r="P27" s="327">
        <f t="shared" si="20"/>
        <v>0</v>
      </c>
      <c r="Q27" s="327">
        <f t="shared" si="20"/>
        <v>0</v>
      </c>
      <c r="R27" s="327">
        <f t="shared" si="20"/>
        <v>9298.9500000000007</v>
      </c>
      <c r="S27" s="327">
        <f t="shared" si="20"/>
        <v>8214.17</v>
      </c>
      <c r="T27" s="327">
        <f t="shared" si="20"/>
        <v>1084.7799999999997</v>
      </c>
      <c r="U27" s="327">
        <f t="shared" si="20"/>
        <v>0.28799999999999998</v>
      </c>
      <c r="V27" s="327">
        <f t="shared" si="20"/>
        <v>152.18495999999996</v>
      </c>
      <c r="W27" s="327">
        <f t="shared" si="20"/>
        <v>662.85</v>
      </c>
      <c r="X27" s="327">
        <f t="shared" si="20"/>
        <v>815.03495999999996</v>
      </c>
      <c r="Y27" s="327">
        <f t="shared" si="20"/>
        <v>125.1</v>
      </c>
      <c r="Z27" s="327">
        <f t="shared" si="20"/>
        <v>689.94</v>
      </c>
      <c r="AA27" s="327">
        <f t="shared" si="20"/>
        <v>0</v>
      </c>
      <c r="AB27" s="327">
        <f t="shared" si="20"/>
        <v>0</v>
      </c>
      <c r="AC27" s="327">
        <f t="shared" si="20"/>
        <v>689.94</v>
      </c>
      <c r="AD27" s="327">
        <f t="shared" si="20"/>
        <v>0</v>
      </c>
      <c r="AE27" s="327">
        <f t="shared" si="20"/>
        <v>0</v>
      </c>
      <c r="AF27" s="327">
        <f t="shared" si="20"/>
        <v>0</v>
      </c>
      <c r="AG27" s="327">
        <f t="shared" si="20"/>
        <v>0</v>
      </c>
      <c r="AH27" s="327">
        <f t="shared" si="20"/>
        <v>689.94</v>
      </c>
      <c r="AI27" s="312">
        <f t="shared" si="20"/>
        <v>8609.01</v>
      </c>
      <c r="AJ27" s="315"/>
      <c r="AK27" s="225"/>
      <c r="AL27" s="228">
        <f>O27+AB27-AH27</f>
        <v>8609.01</v>
      </c>
    </row>
    <row r="28" spans="1:38" ht="27.75" customHeight="1" x14ac:dyDescent="0.25">
      <c r="B28" s="540" t="s">
        <v>114</v>
      </c>
      <c r="C28" s="541"/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41"/>
      <c r="AH28" s="541"/>
      <c r="AI28" s="541"/>
      <c r="AJ28" s="542"/>
      <c r="AK28" s="225"/>
      <c r="AL28" s="225"/>
    </row>
    <row r="29" spans="1:38" s="103" customFormat="1" ht="23.25" customHeight="1" x14ac:dyDescent="0.25">
      <c r="A29" s="103" t="s">
        <v>102</v>
      </c>
      <c r="B29" s="309">
        <v>10</v>
      </c>
      <c r="C29" s="344" t="s">
        <v>495</v>
      </c>
      <c r="D29" s="318" t="s">
        <v>113</v>
      </c>
      <c r="E29" s="341"/>
      <c r="F29" s="318">
        <v>15</v>
      </c>
      <c r="G29" s="319">
        <v>303</v>
      </c>
      <c r="H29" s="320">
        <f t="shared" ref="H29:H32" si="21">ROUND(F29*G29,2)</f>
        <v>4545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0">
        <f>SUM(H29:N29)</f>
        <v>4545</v>
      </c>
      <c r="P29" s="322"/>
      <c r="Q29" s="320">
        <f>IF(G29=47.16,0,IF(G29&gt;47.16,L29*0.5,0))</f>
        <v>0</v>
      </c>
      <c r="R29" s="320">
        <f>H29+I29+J29+M29+Q29+K29</f>
        <v>4545</v>
      </c>
      <c r="S29" s="320">
        <f>VLOOKUP(R29,TARIFA1,1)</f>
        <v>2699.41</v>
      </c>
      <c r="T29" s="320">
        <f>R29-S29</f>
        <v>1845.5900000000001</v>
      </c>
      <c r="U29" s="323">
        <f>VLOOKUP(R29,TARIFA1,3)</f>
        <v>0.10879999999999999</v>
      </c>
      <c r="V29" s="320">
        <f>T29*U29</f>
        <v>200.80019200000001</v>
      </c>
      <c r="W29" s="320">
        <f>VLOOKUP(R29,TARIFA1,2)</f>
        <v>158.55000000000001</v>
      </c>
      <c r="X29" s="320">
        <f>V29+W29</f>
        <v>359.35019199999999</v>
      </c>
      <c r="Y29" s="320">
        <f>VLOOKUP(R29,Credito1,2)</f>
        <v>0</v>
      </c>
      <c r="Z29" s="320">
        <f>ROUND(X29-Y29,2)</f>
        <v>359.35</v>
      </c>
      <c r="AA29" s="324"/>
      <c r="AB29" s="320">
        <f>-IF(Z29&gt;0,0,Z29)</f>
        <v>0</v>
      </c>
      <c r="AC29" s="320">
        <f>IF(Z29&lt;0,0,Z29)</f>
        <v>359.35</v>
      </c>
      <c r="AD29" s="320">
        <v>0</v>
      </c>
      <c r="AE29" s="321">
        <v>0</v>
      </c>
      <c r="AF29" s="321">
        <v>0</v>
      </c>
      <c r="AG29" s="325">
        <v>0</v>
      </c>
      <c r="AH29" s="320">
        <f>SUM(AC29:AG29)</f>
        <v>359.35</v>
      </c>
      <c r="AI29" s="311">
        <f>O29+AB29-AH29</f>
        <v>4185.6499999999996</v>
      </c>
      <c r="AJ29" s="315"/>
      <c r="AK29" s="225"/>
      <c r="AL29" s="225"/>
    </row>
    <row r="30" spans="1:38" ht="25.5" customHeight="1" x14ac:dyDescent="0.25">
      <c r="B30" s="309">
        <v>11</v>
      </c>
      <c r="C30" s="344" t="s">
        <v>353</v>
      </c>
      <c r="D30" s="318" t="s">
        <v>115</v>
      </c>
      <c r="E30" s="342"/>
      <c r="F30" s="318">
        <v>15</v>
      </c>
      <c r="G30" s="319">
        <v>199.93299999999999</v>
      </c>
      <c r="H30" s="320">
        <f t="shared" si="21"/>
        <v>2999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320">
        <f>SUM(H30:N30)</f>
        <v>2999</v>
      </c>
      <c r="P30" s="322"/>
      <c r="Q30" s="320">
        <f>IF(G30=47.16,0,IF(G30&gt;47.16,L30*0.5,0))</f>
        <v>0</v>
      </c>
      <c r="R30" s="320">
        <f>H30+I30+J30+M30+Q30+K30</f>
        <v>2999</v>
      </c>
      <c r="S30" s="320">
        <f>VLOOKUP(R30,TARIFA1,1)</f>
        <v>2699.41</v>
      </c>
      <c r="T30" s="320">
        <f>R30-S30</f>
        <v>299.59000000000015</v>
      </c>
      <c r="U30" s="323">
        <f>VLOOKUP(R30,TARIFA1,3)</f>
        <v>0.10879999999999999</v>
      </c>
      <c r="V30" s="320">
        <f>T30*U30</f>
        <v>32.595392000000011</v>
      </c>
      <c r="W30" s="320">
        <f>VLOOKUP(R30,TARIFA1,2)</f>
        <v>158.55000000000001</v>
      </c>
      <c r="X30" s="320">
        <f>V30+W30</f>
        <v>191.14539200000002</v>
      </c>
      <c r="Y30" s="320">
        <f>VLOOKUP(R30,Credito1,2)</f>
        <v>145.35</v>
      </c>
      <c r="Z30" s="320">
        <f>ROUND(X30-Y30,2)</f>
        <v>45.8</v>
      </c>
      <c r="AA30" s="324"/>
      <c r="AB30" s="320">
        <f>-IF(Z30&gt;0,0,Z30)</f>
        <v>0</v>
      </c>
      <c r="AC30" s="320">
        <f>IF(Z30&lt;0,0,Z30)</f>
        <v>45.8</v>
      </c>
      <c r="AD30" s="320">
        <v>0</v>
      </c>
      <c r="AE30" s="321">
        <v>0</v>
      </c>
      <c r="AF30" s="321">
        <v>0</v>
      </c>
      <c r="AG30" s="325">
        <v>0</v>
      </c>
      <c r="AH30" s="320">
        <f>SUM(AC30:AG30)</f>
        <v>45.8</v>
      </c>
      <c r="AI30" s="311">
        <f>O30+AB30-AH30</f>
        <v>2953.2</v>
      </c>
      <c r="AJ30" s="315"/>
      <c r="AK30" s="225" t="s">
        <v>267</v>
      </c>
      <c r="AL30" s="225"/>
    </row>
    <row r="31" spans="1:38" ht="25.5" customHeight="1" x14ac:dyDescent="0.25">
      <c r="B31" s="309">
        <v>12</v>
      </c>
      <c r="C31" s="344" t="s">
        <v>348</v>
      </c>
      <c r="D31" s="318" t="s">
        <v>116</v>
      </c>
      <c r="E31" s="341"/>
      <c r="F31" s="318">
        <v>15</v>
      </c>
      <c r="G31" s="319">
        <v>190.86666</v>
      </c>
      <c r="H31" s="320">
        <f t="shared" si="21"/>
        <v>2863</v>
      </c>
      <c r="I31" s="321">
        <v>0</v>
      </c>
      <c r="J31" s="321">
        <v>0</v>
      </c>
      <c r="K31" s="321"/>
      <c r="L31" s="321">
        <v>0</v>
      </c>
      <c r="M31" s="321">
        <v>0</v>
      </c>
      <c r="N31" s="321">
        <v>0</v>
      </c>
      <c r="O31" s="320">
        <f>SUM(H31:N31)</f>
        <v>2863</v>
      </c>
      <c r="P31" s="322"/>
      <c r="Q31" s="320">
        <v>0</v>
      </c>
      <c r="R31" s="320">
        <f>H31+I31+J31+M31+Q31+K31</f>
        <v>2863</v>
      </c>
      <c r="S31" s="320">
        <f>VLOOKUP(R31,TARIFA1,1)</f>
        <v>2699.41</v>
      </c>
      <c r="T31" s="320">
        <f>R31-S31</f>
        <v>163.59000000000015</v>
      </c>
      <c r="U31" s="323">
        <f>VLOOKUP(R31,TARIFA1,3)</f>
        <v>0.10879999999999999</v>
      </c>
      <c r="V31" s="320">
        <f>T31*U31</f>
        <v>17.798592000000014</v>
      </c>
      <c r="W31" s="320">
        <f>VLOOKUP(R31,TARIFA1,2)</f>
        <v>158.55000000000001</v>
      </c>
      <c r="X31" s="320">
        <f>V31+W31</f>
        <v>176.34859200000002</v>
      </c>
      <c r="Y31" s="320">
        <f>VLOOKUP(R31,Credito1,2)</f>
        <v>145.35</v>
      </c>
      <c r="Z31" s="320">
        <f>ROUND(X31-Y31,2)</f>
        <v>31</v>
      </c>
      <c r="AA31" s="324"/>
      <c r="AB31" s="320">
        <f>-IF(Z31&gt;0,0,Z31)</f>
        <v>0</v>
      </c>
      <c r="AC31" s="320">
        <f>IF(Z31&lt;0,0,Z31)</f>
        <v>31</v>
      </c>
      <c r="AD31" s="320">
        <v>0</v>
      </c>
      <c r="AE31" s="321">
        <v>0</v>
      </c>
      <c r="AF31" s="321">
        <v>0</v>
      </c>
      <c r="AG31" s="325">
        <v>0</v>
      </c>
      <c r="AH31" s="320">
        <f>SUM(AC31:AG31)</f>
        <v>31</v>
      </c>
      <c r="AI31" s="311">
        <f>O31+AB31-AH31</f>
        <v>2832</v>
      </c>
      <c r="AJ31" s="315"/>
      <c r="AK31" s="225"/>
      <c r="AL31" s="225"/>
    </row>
    <row r="32" spans="1:38" ht="25.5" customHeight="1" x14ac:dyDescent="0.25">
      <c r="B32" s="309">
        <v>13</v>
      </c>
      <c r="C32" s="344" t="s">
        <v>401</v>
      </c>
      <c r="D32" s="318" t="s">
        <v>116</v>
      </c>
      <c r="E32" s="341"/>
      <c r="F32" s="318">
        <v>15</v>
      </c>
      <c r="G32" s="319">
        <v>190.86666</v>
      </c>
      <c r="H32" s="320">
        <f t="shared" si="21"/>
        <v>2863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321">
        <v>0</v>
      </c>
      <c r="O32" s="320">
        <f>SUM(H32:N32)</f>
        <v>2863</v>
      </c>
      <c r="P32" s="322"/>
      <c r="Q32" s="320">
        <f>IF(G32=47.16,0,IF(G32&gt;47.16,L32*0.5,0))</f>
        <v>0</v>
      </c>
      <c r="R32" s="320">
        <f>H32+I32+J32+M32+Q32+K32</f>
        <v>2863</v>
      </c>
      <c r="S32" s="320">
        <f>VLOOKUP(R32,TARIFA1,1)</f>
        <v>2699.41</v>
      </c>
      <c r="T32" s="320">
        <f>R32-S32</f>
        <v>163.59000000000015</v>
      </c>
      <c r="U32" s="323">
        <f>VLOOKUP(R32,TARIFA1,3)</f>
        <v>0.10879999999999999</v>
      </c>
      <c r="V32" s="320">
        <f>T32*U32</f>
        <v>17.798592000000014</v>
      </c>
      <c r="W32" s="320">
        <f>VLOOKUP(R32,TARIFA1,2)</f>
        <v>158.55000000000001</v>
      </c>
      <c r="X32" s="320">
        <f>V32+W32</f>
        <v>176.34859200000002</v>
      </c>
      <c r="Y32" s="320">
        <f>VLOOKUP(R32,Credito1,2)</f>
        <v>145.35</v>
      </c>
      <c r="Z32" s="320">
        <f>ROUND(X32-Y32,2)</f>
        <v>31</v>
      </c>
      <c r="AA32" s="324"/>
      <c r="AB32" s="320">
        <f>-IF(Z32&gt;0,0,Z32)</f>
        <v>0</v>
      </c>
      <c r="AC32" s="320">
        <f>IF(Z32&lt;0,0,Z32)</f>
        <v>31</v>
      </c>
      <c r="AD32" s="320">
        <v>0</v>
      </c>
      <c r="AE32" s="321">
        <v>0</v>
      </c>
      <c r="AF32" s="321">
        <v>0</v>
      </c>
      <c r="AG32" s="325">
        <v>0</v>
      </c>
      <c r="AH32" s="320">
        <f>SUM(AC32:AG32)</f>
        <v>31</v>
      </c>
      <c r="AI32" s="311">
        <f>O32+AB32-AH32</f>
        <v>2832</v>
      </c>
      <c r="AJ32" s="315"/>
      <c r="AK32" s="225"/>
      <c r="AL32" s="225"/>
    </row>
    <row r="33" spans="2:38" ht="25.5" customHeight="1" x14ac:dyDescent="0.25">
      <c r="B33" s="309"/>
      <c r="C33" s="344"/>
      <c r="D33" s="328" t="s">
        <v>111</v>
      </c>
      <c r="E33" s="538"/>
      <c r="F33" s="539"/>
      <c r="G33" s="326"/>
      <c r="H33" s="327">
        <f>SUM(H29:H32)</f>
        <v>13270</v>
      </c>
      <c r="I33" s="327">
        <f t="shared" ref="I33:AI33" si="22">SUM(I29:I32)</f>
        <v>0</v>
      </c>
      <c r="J33" s="327">
        <f t="shared" si="22"/>
        <v>0</v>
      </c>
      <c r="K33" s="327">
        <f t="shared" si="22"/>
        <v>0</v>
      </c>
      <c r="L33" s="327">
        <f t="shared" si="22"/>
        <v>0</v>
      </c>
      <c r="M33" s="327">
        <f t="shared" si="22"/>
        <v>0</v>
      </c>
      <c r="N33" s="327">
        <f t="shared" si="22"/>
        <v>0</v>
      </c>
      <c r="O33" s="327">
        <f t="shared" si="22"/>
        <v>13270</v>
      </c>
      <c r="P33" s="327">
        <f t="shared" si="22"/>
        <v>0</v>
      </c>
      <c r="Q33" s="327">
        <f t="shared" si="22"/>
        <v>0</v>
      </c>
      <c r="R33" s="327">
        <f t="shared" si="22"/>
        <v>13270</v>
      </c>
      <c r="S33" s="327">
        <f t="shared" si="22"/>
        <v>10797.64</v>
      </c>
      <c r="T33" s="327">
        <f t="shared" si="22"/>
        <v>2472.3600000000006</v>
      </c>
      <c r="U33" s="327">
        <f t="shared" si="22"/>
        <v>0.43519999999999998</v>
      </c>
      <c r="V33" s="327">
        <f t="shared" si="22"/>
        <v>268.99276800000007</v>
      </c>
      <c r="W33" s="327">
        <f t="shared" si="22"/>
        <v>634.20000000000005</v>
      </c>
      <c r="X33" s="327">
        <f t="shared" si="22"/>
        <v>903.19276800000011</v>
      </c>
      <c r="Y33" s="327">
        <f t="shared" si="22"/>
        <v>436.04999999999995</v>
      </c>
      <c r="Z33" s="327">
        <f t="shared" si="22"/>
        <v>467.15000000000003</v>
      </c>
      <c r="AA33" s="327">
        <f t="shared" si="22"/>
        <v>0</v>
      </c>
      <c r="AB33" s="327">
        <f t="shared" si="22"/>
        <v>0</v>
      </c>
      <c r="AC33" s="327">
        <f t="shared" si="22"/>
        <v>467.15000000000003</v>
      </c>
      <c r="AD33" s="327">
        <f t="shared" si="22"/>
        <v>0</v>
      </c>
      <c r="AE33" s="327">
        <f t="shared" si="22"/>
        <v>0</v>
      </c>
      <c r="AF33" s="327">
        <f t="shared" si="22"/>
        <v>0</v>
      </c>
      <c r="AG33" s="327">
        <f t="shared" si="22"/>
        <v>0</v>
      </c>
      <c r="AH33" s="327">
        <f t="shared" si="22"/>
        <v>467.15000000000003</v>
      </c>
      <c r="AI33" s="312">
        <f t="shared" si="22"/>
        <v>12802.849999999999</v>
      </c>
      <c r="AJ33" s="314"/>
      <c r="AK33" s="225"/>
      <c r="AL33" s="228">
        <f>O33+AB33-AH33</f>
        <v>12802.85</v>
      </c>
    </row>
    <row r="34" spans="2:38" ht="30" customHeight="1" x14ac:dyDescent="0.25">
      <c r="B34" s="540" t="s">
        <v>537</v>
      </c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1"/>
      <c r="Z34" s="541"/>
      <c r="AA34" s="541"/>
      <c r="AB34" s="541"/>
      <c r="AC34" s="541"/>
      <c r="AD34" s="541"/>
      <c r="AE34" s="541"/>
      <c r="AF34" s="541"/>
      <c r="AG34" s="541"/>
      <c r="AH34" s="541"/>
      <c r="AI34" s="541"/>
      <c r="AJ34" s="542"/>
      <c r="AK34" s="225"/>
      <c r="AL34" s="225"/>
    </row>
    <row r="35" spans="2:38" s="103" customFormat="1" ht="33" customHeight="1" x14ac:dyDescent="0.25">
      <c r="B35" s="309">
        <v>14</v>
      </c>
      <c r="C35" s="344" t="s">
        <v>387</v>
      </c>
      <c r="D35" s="318" t="s">
        <v>536</v>
      </c>
      <c r="E35" s="341"/>
      <c r="F35" s="318">
        <v>15</v>
      </c>
      <c r="G35" s="319">
        <v>333.33330000000001</v>
      </c>
      <c r="H35" s="320">
        <f t="shared" ref="H35:H36" si="23">ROUND(F35*G35,2)</f>
        <v>5000</v>
      </c>
      <c r="I35" s="321">
        <v>0</v>
      </c>
      <c r="J35" s="321">
        <v>0</v>
      </c>
      <c r="K35" s="321">
        <v>0</v>
      </c>
      <c r="L35" s="321">
        <v>0</v>
      </c>
      <c r="M35" s="321">
        <v>0</v>
      </c>
      <c r="N35" s="321">
        <v>0</v>
      </c>
      <c r="O35" s="320">
        <f>SUM(H35:N35)</f>
        <v>5000</v>
      </c>
      <c r="P35" s="322"/>
      <c r="Q35" s="320">
        <f>IF(G35=47.16,0,IF(G35&gt;47.16,L35*0.5,0))</f>
        <v>0</v>
      </c>
      <c r="R35" s="320">
        <f>H35+I35+J35+M35+Q35+K35</f>
        <v>5000</v>
      </c>
      <c r="S35" s="320">
        <f>VLOOKUP(R35,TARIFA1,1)</f>
        <v>4744.0600000000004</v>
      </c>
      <c r="T35" s="320">
        <f>R35-S35</f>
        <v>255.9399999999996</v>
      </c>
      <c r="U35" s="323">
        <f>VLOOKUP(R35,TARIFA1,3)</f>
        <v>0.16</v>
      </c>
      <c r="V35" s="320">
        <f>T35*U35</f>
        <v>40.950399999999938</v>
      </c>
      <c r="W35" s="320">
        <f>VLOOKUP(R35,TARIFA1,2)</f>
        <v>381</v>
      </c>
      <c r="X35" s="320">
        <f>V35+W35</f>
        <v>421.95039999999995</v>
      </c>
      <c r="Y35" s="320">
        <f>VLOOKUP(R35,Credito1,2)</f>
        <v>0</v>
      </c>
      <c r="Z35" s="320">
        <f>ROUND(X35-Y35,2)</f>
        <v>421.95</v>
      </c>
      <c r="AA35" s="324"/>
      <c r="AB35" s="320">
        <f>-IF(Z35&gt;0,0,Z35)</f>
        <v>0</v>
      </c>
      <c r="AC35" s="320">
        <f>IF(Z35&lt;0,0,Z35)</f>
        <v>421.95</v>
      </c>
      <c r="AD35" s="320">
        <v>0</v>
      </c>
      <c r="AE35" s="321">
        <v>0</v>
      </c>
      <c r="AF35" s="321">
        <v>0</v>
      </c>
      <c r="AG35" s="325">
        <v>0</v>
      </c>
      <c r="AH35" s="320">
        <f>SUM(AC35:AG35)</f>
        <v>421.95</v>
      </c>
      <c r="AI35" s="311">
        <f>O35+AB35-AH35</f>
        <v>4578.05</v>
      </c>
      <c r="AJ35" s="315"/>
      <c r="AK35" s="225"/>
      <c r="AL35" s="225"/>
    </row>
    <row r="36" spans="2:38" s="103" customFormat="1" ht="24.75" customHeight="1" x14ac:dyDescent="0.25">
      <c r="B36" s="309">
        <v>15</v>
      </c>
      <c r="C36" s="344" t="s">
        <v>479</v>
      </c>
      <c r="D36" s="318" t="s">
        <v>120</v>
      </c>
      <c r="E36" s="318"/>
      <c r="F36" s="318">
        <v>15</v>
      </c>
      <c r="G36" s="319">
        <v>219.93</v>
      </c>
      <c r="H36" s="320">
        <f t="shared" si="23"/>
        <v>3298.95</v>
      </c>
      <c r="I36" s="321">
        <v>0</v>
      </c>
      <c r="J36" s="321">
        <v>0</v>
      </c>
      <c r="K36" s="321"/>
      <c r="L36" s="321">
        <v>0</v>
      </c>
      <c r="M36" s="321">
        <v>0</v>
      </c>
      <c r="N36" s="321">
        <v>0</v>
      </c>
      <c r="O36" s="320">
        <f>SUM(H36:N36)</f>
        <v>3298.95</v>
      </c>
      <c r="P36" s="322"/>
      <c r="Q36" s="320">
        <v>0</v>
      </c>
      <c r="R36" s="320">
        <f>H36+I36+J36+M36+Q36+K36</f>
        <v>3298.95</v>
      </c>
      <c r="S36" s="320">
        <f>VLOOKUP(R36,TARIFA1,1)</f>
        <v>2699.41</v>
      </c>
      <c r="T36" s="320">
        <f>R36-S36</f>
        <v>599.54</v>
      </c>
      <c r="U36" s="323">
        <f>VLOOKUP(R36,TARIFA1,3)</f>
        <v>0.10879999999999999</v>
      </c>
      <c r="V36" s="320">
        <f>T36*U36</f>
        <v>65.229951999999997</v>
      </c>
      <c r="W36" s="320">
        <f>VLOOKUP(R36,TARIFA1,2)</f>
        <v>158.55000000000001</v>
      </c>
      <c r="X36" s="320">
        <f>V36+W36</f>
        <v>223.77995200000001</v>
      </c>
      <c r="Y36" s="320">
        <f>VLOOKUP(R36,Credito1,2)</f>
        <v>125.1</v>
      </c>
      <c r="Z36" s="320">
        <f>ROUND(X36-Y36,2)</f>
        <v>98.68</v>
      </c>
      <c r="AA36" s="324"/>
      <c r="AB36" s="320">
        <f>-IF(Z36&gt;0,0,Z36)</f>
        <v>0</v>
      </c>
      <c r="AC36" s="320">
        <f>IF(Z36&lt;0,0,Z36)</f>
        <v>98.68</v>
      </c>
      <c r="AD36" s="320">
        <v>0</v>
      </c>
      <c r="AE36" s="321">
        <v>0</v>
      </c>
      <c r="AF36" s="321">
        <v>0</v>
      </c>
      <c r="AG36" s="325">
        <v>0</v>
      </c>
      <c r="AH36" s="320">
        <f>SUM(AC36:AG36)</f>
        <v>98.68</v>
      </c>
      <c r="AI36" s="311">
        <f>O36+AB36-AH36</f>
        <v>3200.27</v>
      </c>
      <c r="AJ36" s="315"/>
      <c r="AK36" s="225"/>
      <c r="AL36" s="225"/>
    </row>
    <row r="37" spans="2:38" ht="21" customHeight="1" x14ac:dyDescent="0.25">
      <c r="B37" s="309"/>
      <c r="C37" s="344"/>
      <c r="D37" s="328" t="s">
        <v>111</v>
      </c>
      <c r="E37" s="538"/>
      <c r="F37" s="539"/>
      <c r="G37" s="326"/>
      <c r="H37" s="327">
        <f>SUM(H35:H36)</f>
        <v>8298.9500000000007</v>
      </c>
      <c r="I37" s="327">
        <f t="shared" ref="I37:AI37" si="24">SUM(I35:I36)</f>
        <v>0</v>
      </c>
      <c r="J37" s="327">
        <f t="shared" si="24"/>
        <v>0</v>
      </c>
      <c r="K37" s="327">
        <f t="shared" si="24"/>
        <v>0</v>
      </c>
      <c r="L37" s="327">
        <f t="shared" si="24"/>
        <v>0</v>
      </c>
      <c r="M37" s="327">
        <f t="shared" si="24"/>
        <v>0</v>
      </c>
      <c r="N37" s="327">
        <f t="shared" si="24"/>
        <v>0</v>
      </c>
      <c r="O37" s="327">
        <f t="shared" si="24"/>
        <v>8298.9500000000007</v>
      </c>
      <c r="P37" s="327">
        <f t="shared" si="24"/>
        <v>0</v>
      </c>
      <c r="Q37" s="327">
        <f t="shared" si="24"/>
        <v>0</v>
      </c>
      <c r="R37" s="327">
        <f t="shared" si="24"/>
        <v>8298.9500000000007</v>
      </c>
      <c r="S37" s="327">
        <f t="shared" si="24"/>
        <v>7443.47</v>
      </c>
      <c r="T37" s="327">
        <f t="shared" si="24"/>
        <v>855.47999999999956</v>
      </c>
      <c r="U37" s="327">
        <f t="shared" si="24"/>
        <v>0.26879999999999998</v>
      </c>
      <c r="V37" s="327">
        <f t="shared" si="24"/>
        <v>106.18035199999994</v>
      </c>
      <c r="W37" s="327">
        <f t="shared" si="24"/>
        <v>539.54999999999995</v>
      </c>
      <c r="X37" s="327">
        <f t="shared" si="24"/>
        <v>645.73035199999993</v>
      </c>
      <c r="Y37" s="327">
        <f t="shared" si="24"/>
        <v>125.1</v>
      </c>
      <c r="Z37" s="327">
        <f t="shared" si="24"/>
        <v>520.63</v>
      </c>
      <c r="AA37" s="327">
        <f t="shared" si="24"/>
        <v>0</v>
      </c>
      <c r="AB37" s="327">
        <f t="shared" si="24"/>
        <v>0</v>
      </c>
      <c r="AC37" s="327">
        <f t="shared" si="24"/>
        <v>520.63</v>
      </c>
      <c r="AD37" s="327">
        <f t="shared" si="24"/>
        <v>0</v>
      </c>
      <c r="AE37" s="327">
        <f t="shared" si="24"/>
        <v>0</v>
      </c>
      <c r="AF37" s="327">
        <f t="shared" si="24"/>
        <v>0</v>
      </c>
      <c r="AG37" s="327">
        <f t="shared" si="24"/>
        <v>0</v>
      </c>
      <c r="AH37" s="327">
        <f t="shared" si="24"/>
        <v>520.63</v>
      </c>
      <c r="AI37" s="312">
        <f t="shared" si="24"/>
        <v>7778.32</v>
      </c>
      <c r="AJ37" s="314"/>
      <c r="AK37" s="225"/>
      <c r="AL37" s="228">
        <f>O37+AB37-AH37</f>
        <v>7778.3200000000006</v>
      </c>
    </row>
    <row r="38" spans="2:38" ht="24.75" customHeight="1" x14ac:dyDescent="0.25">
      <c r="B38" s="540" t="s">
        <v>117</v>
      </c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541"/>
      <c r="S38" s="541"/>
      <c r="T38" s="541"/>
      <c r="U38" s="541"/>
      <c r="V38" s="541"/>
      <c r="W38" s="54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2"/>
      <c r="AK38" s="225"/>
      <c r="AL38" s="225"/>
    </row>
    <row r="39" spans="2:38" s="103" customFormat="1" ht="25.5" customHeight="1" x14ac:dyDescent="0.25">
      <c r="B39" s="309">
        <v>16</v>
      </c>
      <c r="C39" s="344" t="s">
        <v>445</v>
      </c>
      <c r="D39" s="318" t="s">
        <v>273</v>
      </c>
      <c r="E39" s="341"/>
      <c r="F39" s="318">
        <v>15</v>
      </c>
      <c r="G39" s="319">
        <v>149.6</v>
      </c>
      <c r="H39" s="320">
        <f t="shared" ref="H39:H43" si="25">ROUND(F39*G39,2)</f>
        <v>2244</v>
      </c>
      <c r="I39" s="321">
        <v>0</v>
      </c>
      <c r="J39" s="321">
        <v>0</v>
      </c>
      <c r="K39" s="321">
        <v>0</v>
      </c>
      <c r="L39" s="321">
        <v>0</v>
      </c>
      <c r="M39" s="321">
        <v>0</v>
      </c>
      <c r="N39" s="321">
        <v>0</v>
      </c>
      <c r="O39" s="320">
        <f>SUM(H39:N39)</f>
        <v>2244</v>
      </c>
      <c r="P39" s="322"/>
      <c r="Q39" s="320">
        <v>0</v>
      </c>
      <c r="R39" s="320">
        <f>H39+I39+J39+M39+Q39+K39</f>
        <v>2244</v>
      </c>
      <c r="S39" s="320">
        <f>VLOOKUP(R39,TARIFA1,1)</f>
        <v>318.01</v>
      </c>
      <c r="T39" s="320">
        <f>R39-S39</f>
        <v>1925.99</v>
      </c>
      <c r="U39" s="323">
        <f>VLOOKUP(R39,TARIFA1,3)</f>
        <v>6.4000000000000001E-2</v>
      </c>
      <c r="V39" s="320">
        <f>T39*U39</f>
        <v>123.26336000000001</v>
      </c>
      <c r="W39" s="320">
        <f>VLOOKUP(R39,TARIFA1,2)</f>
        <v>6.15</v>
      </c>
      <c r="X39" s="320">
        <f>V39+W39</f>
        <v>129.41336000000001</v>
      </c>
      <c r="Y39" s="320">
        <f>VLOOKUP(R39,Credito1,2)</f>
        <v>174.75</v>
      </c>
      <c r="Z39" s="320">
        <f>ROUND(X39-Y39,2)</f>
        <v>-45.34</v>
      </c>
      <c r="AA39" s="324"/>
      <c r="AB39" s="320">
        <f>-IF(Z39&gt;0,0,Z39)</f>
        <v>45.34</v>
      </c>
      <c r="AC39" s="320">
        <f>IF(Z39&lt;0,0,Z39)</f>
        <v>0</v>
      </c>
      <c r="AD39" s="320">
        <v>0</v>
      </c>
      <c r="AE39" s="321">
        <v>0</v>
      </c>
      <c r="AF39" s="321">
        <v>0</v>
      </c>
      <c r="AG39" s="325">
        <v>0</v>
      </c>
      <c r="AH39" s="320">
        <f>SUM(AC39:AG39)</f>
        <v>0</v>
      </c>
      <c r="AI39" s="311">
        <f>O39+AB39-AH39</f>
        <v>2289.34</v>
      </c>
      <c r="AJ39" s="315"/>
      <c r="AK39" s="225"/>
      <c r="AL39" s="225"/>
    </row>
    <row r="40" spans="2:38" ht="25.5" customHeight="1" x14ac:dyDescent="0.25">
      <c r="B40" s="309">
        <v>17</v>
      </c>
      <c r="C40" s="344" t="s">
        <v>421</v>
      </c>
      <c r="D40" s="318" t="s">
        <v>119</v>
      </c>
      <c r="E40" s="341"/>
      <c r="F40" s="318">
        <v>15</v>
      </c>
      <c r="G40" s="319">
        <v>166.66659999999999</v>
      </c>
      <c r="H40" s="320">
        <f t="shared" si="25"/>
        <v>2500</v>
      </c>
      <c r="I40" s="321">
        <v>0</v>
      </c>
      <c r="J40" s="321">
        <v>0</v>
      </c>
      <c r="K40" s="321">
        <v>0</v>
      </c>
      <c r="L40" s="321">
        <v>0</v>
      </c>
      <c r="M40" s="321">
        <v>0</v>
      </c>
      <c r="N40" s="321">
        <v>0</v>
      </c>
      <c r="O40" s="320">
        <f>SUM(H40:N40)</f>
        <v>2500</v>
      </c>
      <c r="P40" s="322"/>
      <c r="Q40" s="320">
        <f>IF(G40=47.16,0,IF(G40&gt;47.16,L40*0.5,0))</f>
        <v>0</v>
      </c>
      <c r="R40" s="320">
        <f>H40+I40+J40+M40+Q40+K40</f>
        <v>2500</v>
      </c>
      <c r="S40" s="320">
        <f>VLOOKUP(R40,TARIFA1,1)</f>
        <v>318.01</v>
      </c>
      <c r="T40" s="320">
        <f>R40-S40</f>
        <v>2181.9899999999998</v>
      </c>
      <c r="U40" s="323">
        <f>VLOOKUP(R40,TARIFA1,3)</f>
        <v>6.4000000000000001E-2</v>
      </c>
      <c r="V40" s="320">
        <f>T40*U40</f>
        <v>139.64735999999999</v>
      </c>
      <c r="W40" s="320">
        <f>VLOOKUP(R40,TARIFA1,2)</f>
        <v>6.15</v>
      </c>
      <c r="X40" s="320">
        <f>V40+W40</f>
        <v>145.79736</v>
      </c>
      <c r="Y40" s="320">
        <f>VLOOKUP(R40,Credito1,2)</f>
        <v>160.35</v>
      </c>
      <c r="Z40" s="320">
        <f>ROUND(X40-Y40,2)</f>
        <v>-14.55</v>
      </c>
      <c r="AA40" s="324"/>
      <c r="AB40" s="320">
        <f>-IF(Z40&gt;0,0,Z40)</f>
        <v>14.55</v>
      </c>
      <c r="AC40" s="320">
        <f>IF(Z40&lt;0,0,Z40)</f>
        <v>0</v>
      </c>
      <c r="AD40" s="320">
        <v>0</v>
      </c>
      <c r="AE40" s="321">
        <v>0</v>
      </c>
      <c r="AF40" s="321">
        <v>0</v>
      </c>
      <c r="AG40" s="325">
        <v>0</v>
      </c>
      <c r="AH40" s="320">
        <f>SUM(AC40:AG40)</f>
        <v>0</v>
      </c>
      <c r="AI40" s="311">
        <f>O40+AB40-AH40</f>
        <v>2514.5500000000002</v>
      </c>
      <c r="AJ40" s="315"/>
      <c r="AK40" s="225"/>
      <c r="AL40" s="225"/>
    </row>
    <row r="41" spans="2:38" ht="22.5" customHeight="1" x14ac:dyDescent="0.25">
      <c r="B41" s="309">
        <v>18</v>
      </c>
      <c r="C41" s="344" t="s">
        <v>420</v>
      </c>
      <c r="D41" s="318" t="s">
        <v>226</v>
      </c>
      <c r="E41" s="341"/>
      <c r="F41" s="318">
        <v>15</v>
      </c>
      <c r="G41" s="319">
        <v>166.66659999999999</v>
      </c>
      <c r="H41" s="320">
        <f t="shared" si="25"/>
        <v>2500</v>
      </c>
      <c r="I41" s="321">
        <v>0</v>
      </c>
      <c r="J41" s="321">
        <v>0</v>
      </c>
      <c r="K41" s="321">
        <v>0</v>
      </c>
      <c r="L41" s="321">
        <v>0</v>
      </c>
      <c r="M41" s="321">
        <v>0</v>
      </c>
      <c r="N41" s="321">
        <v>0</v>
      </c>
      <c r="O41" s="320">
        <f>SUM(H41:N41)</f>
        <v>2500</v>
      </c>
      <c r="P41" s="322"/>
      <c r="Q41" s="320">
        <f>IF(G41=47.16,0,IF(G41&gt;47.16,L41*0.5,0))</f>
        <v>0</v>
      </c>
      <c r="R41" s="320">
        <f>H41+I41+J41+M41+Q41+K41</f>
        <v>2500</v>
      </c>
      <c r="S41" s="320">
        <f>VLOOKUP(R41,TARIFA1,1)</f>
        <v>318.01</v>
      </c>
      <c r="T41" s="320">
        <f>R41-S41</f>
        <v>2181.9899999999998</v>
      </c>
      <c r="U41" s="323">
        <f>VLOOKUP(R41,TARIFA1,3)</f>
        <v>6.4000000000000001E-2</v>
      </c>
      <c r="V41" s="320">
        <f>T41*U41</f>
        <v>139.64735999999999</v>
      </c>
      <c r="W41" s="320">
        <f>VLOOKUP(R41,TARIFA1,2)</f>
        <v>6.15</v>
      </c>
      <c r="X41" s="320">
        <f>V41+W41</f>
        <v>145.79736</v>
      </c>
      <c r="Y41" s="320">
        <f>VLOOKUP(R41,Credito1,2)</f>
        <v>160.35</v>
      </c>
      <c r="Z41" s="320">
        <f>ROUND(X41-Y41,2)</f>
        <v>-14.55</v>
      </c>
      <c r="AA41" s="324"/>
      <c r="AB41" s="320">
        <f>-IF(Z41&gt;0,0,Z41)</f>
        <v>14.55</v>
      </c>
      <c r="AC41" s="320">
        <f>IF(Z41&lt;0,0,Z41)</f>
        <v>0</v>
      </c>
      <c r="AD41" s="320">
        <v>0</v>
      </c>
      <c r="AE41" s="321">
        <v>0</v>
      </c>
      <c r="AF41" s="321">
        <v>0</v>
      </c>
      <c r="AG41" s="325">
        <v>0</v>
      </c>
      <c r="AH41" s="320">
        <f>SUM(AC41:AG41)</f>
        <v>0</v>
      </c>
      <c r="AI41" s="311">
        <f>O41+AB41-AH41</f>
        <v>2514.5500000000002</v>
      </c>
      <c r="AJ41" s="315"/>
      <c r="AK41" s="225"/>
      <c r="AL41" s="225"/>
    </row>
    <row r="42" spans="2:38" ht="26.25" customHeight="1" x14ac:dyDescent="0.25">
      <c r="B42" s="309">
        <v>19</v>
      </c>
      <c r="C42" s="344" t="s">
        <v>355</v>
      </c>
      <c r="D42" s="318" t="s">
        <v>181</v>
      </c>
      <c r="E42" s="341"/>
      <c r="F42" s="318">
        <v>15</v>
      </c>
      <c r="G42" s="319">
        <v>303</v>
      </c>
      <c r="H42" s="320">
        <f t="shared" si="25"/>
        <v>4545</v>
      </c>
      <c r="I42" s="321">
        <v>0</v>
      </c>
      <c r="J42" s="321">
        <v>0</v>
      </c>
      <c r="K42" s="321">
        <v>0</v>
      </c>
      <c r="L42" s="321">
        <v>0</v>
      </c>
      <c r="M42" s="321">
        <v>0</v>
      </c>
      <c r="N42" s="321">
        <v>0</v>
      </c>
      <c r="O42" s="320">
        <f>SUM(H42:N42)</f>
        <v>4545</v>
      </c>
      <c r="P42" s="322"/>
      <c r="Q42" s="320">
        <f>IF(G42=47.16,0,IF(G42&gt;47.16,L42*0.5,0))</f>
        <v>0</v>
      </c>
      <c r="R42" s="320">
        <f>H42+I42+J42+M42+Q42+K42</f>
        <v>4545</v>
      </c>
      <c r="S42" s="320">
        <f>VLOOKUP(R42,TARIFA1,1)</f>
        <v>2699.41</v>
      </c>
      <c r="T42" s="320">
        <f>R42-S42</f>
        <v>1845.5900000000001</v>
      </c>
      <c r="U42" s="323">
        <f>VLOOKUP(R42,TARIFA1,3)</f>
        <v>0.10879999999999999</v>
      </c>
      <c r="V42" s="320">
        <f>T42*U42</f>
        <v>200.80019200000001</v>
      </c>
      <c r="W42" s="320">
        <f>VLOOKUP(R42,TARIFA1,2)</f>
        <v>158.55000000000001</v>
      </c>
      <c r="X42" s="320">
        <f>V42+W42</f>
        <v>359.35019199999999</v>
      </c>
      <c r="Y42" s="320">
        <f>VLOOKUP(R42,Credito1,2)</f>
        <v>0</v>
      </c>
      <c r="Z42" s="320">
        <f>ROUND(X42-Y42,2)</f>
        <v>359.35</v>
      </c>
      <c r="AA42" s="324"/>
      <c r="AB42" s="320">
        <f>-IF(Z42&gt;0,0,Z42)</f>
        <v>0</v>
      </c>
      <c r="AC42" s="320">
        <f>IF(Z42&lt;0,0,Z42)</f>
        <v>359.35</v>
      </c>
      <c r="AD42" s="320">
        <v>0</v>
      </c>
      <c r="AE42" s="321">
        <v>0</v>
      </c>
      <c r="AF42" s="321">
        <v>0</v>
      </c>
      <c r="AG42" s="325">
        <v>0</v>
      </c>
      <c r="AH42" s="320">
        <f>SUM(AC42:AG42)</f>
        <v>359.35</v>
      </c>
      <c r="AI42" s="311">
        <f>O42+AB42-AH42</f>
        <v>4185.6499999999996</v>
      </c>
      <c r="AJ42" s="315"/>
      <c r="AK42" s="225"/>
      <c r="AL42" s="225"/>
    </row>
    <row r="43" spans="2:38" ht="26.25" customHeight="1" x14ac:dyDescent="0.25">
      <c r="B43" s="309">
        <v>20</v>
      </c>
      <c r="C43" s="344" t="s">
        <v>409</v>
      </c>
      <c r="D43" s="318" t="s">
        <v>237</v>
      </c>
      <c r="E43" s="341"/>
      <c r="F43" s="318">
        <v>15</v>
      </c>
      <c r="G43" s="319">
        <v>166.66659999999999</v>
      </c>
      <c r="H43" s="320">
        <f t="shared" si="25"/>
        <v>2500</v>
      </c>
      <c r="I43" s="321">
        <v>0</v>
      </c>
      <c r="J43" s="321">
        <v>0</v>
      </c>
      <c r="K43" s="321">
        <v>0</v>
      </c>
      <c r="L43" s="321">
        <v>0</v>
      </c>
      <c r="M43" s="321">
        <v>0</v>
      </c>
      <c r="N43" s="321">
        <v>0</v>
      </c>
      <c r="O43" s="320">
        <f>SUM(H43:N43)</f>
        <v>2500</v>
      </c>
      <c r="P43" s="322"/>
      <c r="Q43" s="320">
        <v>0</v>
      </c>
      <c r="R43" s="320">
        <f>H43+I43+J43+M43+Q43+K43</f>
        <v>2500</v>
      </c>
      <c r="S43" s="320">
        <f>VLOOKUP(R43,TARIFA1,1)</f>
        <v>318.01</v>
      </c>
      <c r="T43" s="320">
        <f>R43-S43</f>
        <v>2181.9899999999998</v>
      </c>
      <c r="U43" s="323">
        <f>VLOOKUP(R43,TARIFA1,3)</f>
        <v>6.4000000000000001E-2</v>
      </c>
      <c r="V43" s="320">
        <f>T43*U43</f>
        <v>139.64735999999999</v>
      </c>
      <c r="W43" s="320">
        <f>VLOOKUP(R43,TARIFA1,2)</f>
        <v>6.15</v>
      </c>
      <c r="X43" s="320">
        <f>V43+W43</f>
        <v>145.79736</v>
      </c>
      <c r="Y43" s="320">
        <f>VLOOKUP(R43,Credito1,2)</f>
        <v>160.35</v>
      </c>
      <c r="Z43" s="320">
        <f>ROUND(X43-Y43,2)</f>
        <v>-14.55</v>
      </c>
      <c r="AA43" s="324"/>
      <c r="AB43" s="320">
        <f>-IF(Z43&gt;0,0,Z43)</f>
        <v>14.55</v>
      </c>
      <c r="AC43" s="320">
        <f>IF(Z43&lt;0,0,Z43)</f>
        <v>0</v>
      </c>
      <c r="AD43" s="320">
        <v>0</v>
      </c>
      <c r="AE43" s="321">
        <v>0</v>
      </c>
      <c r="AF43" s="321">
        <v>0</v>
      </c>
      <c r="AG43" s="325">
        <v>0</v>
      </c>
      <c r="AH43" s="320">
        <f>SUM(AC43:AG43)</f>
        <v>0</v>
      </c>
      <c r="AI43" s="311">
        <f>O43+AB43-AH43</f>
        <v>2514.5500000000002</v>
      </c>
      <c r="AJ43" s="315"/>
      <c r="AK43" s="225"/>
      <c r="AL43" s="225"/>
    </row>
    <row r="44" spans="2:38" ht="19.5" customHeight="1" x14ac:dyDescent="0.25">
      <c r="B44" s="309"/>
      <c r="C44" s="344"/>
      <c r="D44" s="328" t="s">
        <v>111</v>
      </c>
      <c r="E44" s="538"/>
      <c r="F44" s="539"/>
      <c r="G44" s="326"/>
      <c r="H44" s="327">
        <f>SUM(H39:H43)</f>
        <v>14289</v>
      </c>
      <c r="I44" s="327">
        <f t="shared" ref="I44:AI44" si="26">SUM(I39:I43)</f>
        <v>0</v>
      </c>
      <c r="J44" s="327">
        <f t="shared" si="26"/>
        <v>0</v>
      </c>
      <c r="K44" s="327">
        <f t="shared" si="26"/>
        <v>0</v>
      </c>
      <c r="L44" s="327">
        <f t="shared" si="26"/>
        <v>0</v>
      </c>
      <c r="M44" s="327">
        <f t="shared" si="26"/>
        <v>0</v>
      </c>
      <c r="N44" s="327">
        <f t="shared" si="26"/>
        <v>0</v>
      </c>
      <c r="O44" s="327">
        <f t="shared" si="26"/>
        <v>14289</v>
      </c>
      <c r="P44" s="327">
        <f t="shared" si="26"/>
        <v>0</v>
      </c>
      <c r="Q44" s="327">
        <f t="shared" si="26"/>
        <v>0</v>
      </c>
      <c r="R44" s="327">
        <f t="shared" si="26"/>
        <v>14289</v>
      </c>
      <c r="S44" s="327">
        <f t="shared" si="26"/>
        <v>3971.45</v>
      </c>
      <c r="T44" s="327">
        <f t="shared" si="26"/>
        <v>10317.549999999999</v>
      </c>
      <c r="U44" s="327">
        <f t="shared" si="26"/>
        <v>0.36480000000000001</v>
      </c>
      <c r="V44" s="327">
        <f t="shared" si="26"/>
        <v>743.00563199999988</v>
      </c>
      <c r="W44" s="327">
        <f t="shared" si="26"/>
        <v>183.15</v>
      </c>
      <c r="X44" s="327">
        <f t="shared" si="26"/>
        <v>926.15563200000008</v>
      </c>
      <c r="Y44" s="327">
        <f t="shared" si="26"/>
        <v>655.80000000000007</v>
      </c>
      <c r="Z44" s="327">
        <f t="shared" si="26"/>
        <v>270.36</v>
      </c>
      <c r="AA44" s="327">
        <f t="shared" si="26"/>
        <v>0</v>
      </c>
      <c r="AB44" s="327">
        <f t="shared" si="26"/>
        <v>88.99</v>
      </c>
      <c r="AC44" s="327">
        <f t="shared" si="26"/>
        <v>359.35</v>
      </c>
      <c r="AD44" s="327">
        <f t="shared" si="26"/>
        <v>0</v>
      </c>
      <c r="AE44" s="327">
        <f t="shared" si="26"/>
        <v>0</v>
      </c>
      <c r="AF44" s="327">
        <f t="shared" si="26"/>
        <v>0</v>
      </c>
      <c r="AG44" s="327">
        <f t="shared" si="26"/>
        <v>0</v>
      </c>
      <c r="AH44" s="327">
        <f t="shared" si="26"/>
        <v>359.35</v>
      </c>
      <c r="AI44" s="312">
        <f t="shared" si="26"/>
        <v>14018.64</v>
      </c>
      <c r="AJ44" s="314"/>
      <c r="AK44" s="225"/>
      <c r="AL44" s="228">
        <f>O44+AB44-AH44</f>
        <v>14018.64</v>
      </c>
    </row>
    <row r="45" spans="2:38" ht="24" customHeight="1" x14ac:dyDescent="0.25">
      <c r="B45" s="540" t="s">
        <v>166</v>
      </c>
      <c r="C45" s="541"/>
      <c r="D45" s="541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2"/>
      <c r="AK45" s="225"/>
      <c r="AL45" s="225"/>
    </row>
    <row r="46" spans="2:38" s="103" customFormat="1" ht="17.5" x14ac:dyDescent="0.25">
      <c r="B46" s="309">
        <v>21</v>
      </c>
      <c r="C46" s="346" t="s">
        <v>363</v>
      </c>
      <c r="D46" s="318" t="s">
        <v>209</v>
      </c>
      <c r="E46" s="318"/>
      <c r="F46" s="318">
        <v>15</v>
      </c>
      <c r="G46" s="319">
        <v>303</v>
      </c>
      <c r="H46" s="320">
        <f t="shared" ref="H46:H47" si="27">ROUND(F46*G46,2)</f>
        <v>4545</v>
      </c>
      <c r="I46" s="320">
        <v>0</v>
      </c>
      <c r="J46" s="320"/>
      <c r="K46" s="320">
        <v>0</v>
      </c>
      <c r="L46" s="320"/>
      <c r="M46" s="320"/>
      <c r="N46" s="320"/>
      <c r="O46" s="320">
        <f>SUM(H46:N46)</f>
        <v>4545</v>
      </c>
      <c r="P46" s="320"/>
      <c r="Q46" s="320"/>
      <c r="R46" s="320">
        <f>H46+I46+J46+M46+Q46+K46</f>
        <v>4545</v>
      </c>
      <c r="S46" s="320">
        <f>VLOOKUP(R46,TARIFA1,1)</f>
        <v>2699.41</v>
      </c>
      <c r="T46" s="320">
        <f>R46-S46</f>
        <v>1845.5900000000001</v>
      </c>
      <c r="U46" s="323">
        <f>VLOOKUP(R46,TARIFA1,3)</f>
        <v>0.10879999999999999</v>
      </c>
      <c r="V46" s="320">
        <f>T46*U46</f>
        <v>200.80019200000001</v>
      </c>
      <c r="W46" s="320">
        <f>VLOOKUP(R46,TARIFA1,2)</f>
        <v>158.55000000000001</v>
      </c>
      <c r="X46" s="320">
        <f>V46+W46</f>
        <v>359.35019199999999</v>
      </c>
      <c r="Y46" s="320">
        <f>VLOOKUP(R46,Credito1,2)</f>
        <v>0</v>
      </c>
      <c r="Z46" s="320">
        <f>ROUND(X46-Y46,2)</f>
        <v>359.35</v>
      </c>
      <c r="AA46" s="320"/>
      <c r="AB46" s="320">
        <f>-IF(Z46&gt;0,0,Z46)</f>
        <v>0</v>
      </c>
      <c r="AC46" s="320">
        <f>IF(Z46&lt;0,0,Z46)</f>
        <v>359.35</v>
      </c>
      <c r="AD46" s="320">
        <v>0</v>
      </c>
      <c r="AE46" s="320">
        <v>0</v>
      </c>
      <c r="AF46" s="320"/>
      <c r="AG46" s="320">
        <v>0</v>
      </c>
      <c r="AH46" s="320">
        <f>SUM(AC46:AG46)</f>
        <v>359.35</v>
      </c>
      <c r="AI46" s="311">
        <f>O46+AB46-AH46</f>
        <v>4185.6499999999996</v>
      </c>
      <c r="AJ46" s="315"/>
      <c r="AK46" s="225"/>
      <c r="AL46" s="225"/>
    </row>
    <row r="47" spans="2:38" ht="26.25" customHeight="1" x14ac:dyDescent="0.25">
      <c r="B47" s="309">
        <v>22</v>
      </c>
      <c r="C47" s="344" t="s">
        <v>468</v>
      </c>
      <c r="D47" s="318" t="s">
        <v>211</v>
      </c>
      <c r="E47" s="341"/>
      <c r="F47" s="318">
        <v>15</v>
      </c>
      <c r="G47" s="319">
        <v>303</v>
      </c>
      <c r="H47" s="320">
        <f t="shared" si="27"/>
        <v>4545</v>
      </c>
      <c r="I47" s="321">
        <v>0</v>
      </c>
      <c r="J47" s="321">
        <v>0</v>
      </c>
      <c r="K47" s="321">
        <v>0</v>
      </c>
      <c r="L47" s="321">
        <v>0</v>
      </c>
      <c r="M47" s="321">
        <v>0</v>
      </c>
      <c r="N47" s="321">
        <v>0</v>
      </c>
      <c r="O47" s="320">
        <f>SUM(H47:N47)</f>
        <v>4545</v>
      </c>
      <c r="P47" s="322"/>
      <c r="Q47" s="320">
        <f>IF(G47=47.16,0,IF(G47&gt;47.16,L47*0.5,0))</f>
        <v>0</v>
      </c>
      <c r="R47" s="320">
        <f>H47+I47+J47+M47+Q47+K47</f>
        <v>4545</v>
      </c>
      <c r="S47" s="320">
        <f>VLOOKUP(R47,TARIFA1,1)</f>
        <v>2699.41</v>
      </c>
      <c r="T47" s="320">
        <f>R47-S47</f>
        <v>1845.5900000000001</v>
      </c>
      <c r="U47" s="323">
        <f>VLOOKUP(R47,TARIFA1,3)</f>
        <v>0.10879999999999999</v>
      </c>
      <c r="V47" s="320">
        <f>T47*U47</f>
        <v>200.80019200000001</v>
      </c>
      <c r="W47" s="320">
        <f>VLOOKUP(R47,TARIFA1,2)</f>
        <v>158.55000000000001</v>
      </c>
      <c r="X47" s="320">
        <f>V47+W47</f>
        <v>359.35019199999999</v>
      </c>
      <c r="Y47" s="320">
        <f>VLOOKUP(R47,Credito1,2)</f>
        <v>0</v>
      </c>
      <c r="Z47" s="320">
        <f>ROUND(X47-Y47,2)</f>
        <v>359.35</v>
      </c>
      <c r="AA47" s="324"/>
      <c r="AB47" s="320">
        <f>-IF(Z47&gt;0,0,Z47)</f>
        <v>0</v>
      </c>
      <c r="AC47" s="320">
        <f>IF(Z47&lt;0,0,Z47)</f>
        <v>359.35</v>
      </c>
      <c r="AD47" s="320">
        <v>0</v>
      </c>
      <c r="AE47" s="321">
        <v>0</v>
      </c>
      <c r="AF47" s="321">
        <v>0</v>
      </c>
      <c r="AG47" s="325">
        <v>0</v>
      </c>
      <c r="AH47" s="320">
        <f>SUM(AC47:AG47)</f>
        <v>359.35</v>
      </c>
      <c r="AI47" s="311">
        <f>O47+AB47-AH47</f>
        <v>4185.6499999999996</v>
      </c>
      <c r="AJ47" s="315"/>
      <c r="AK47" s="225"/>
      <c r="AL47" s="225"/>
    </row>
    <row r="48" spans="2:38" ht="23.25" customHeight="1" x14ac:dyDescent="0.25">
      <c r="B48" s="309"/>
      <c r="C48" s="344"/>
      <c r="D48" s="328" t="s">
        <v>111</v>
      </c>
      <c r="E48" s="538"/>
      <c r="F48" s="539"/>
      <c r="G48" s="326"/>
      <c r="H48" s="327">
        <f>SUM(H46:H47)</f>
        <v>9090</v>
      </c>
      <c r="I48" s="327">
        <f t="shared" ref="I48:AI48" si="28">SUM(I46:I47)</f>
        <v>0</v>
      </c>
      <c r="J48" s="327">
        <f t="shared" si="28"/>
        <v>0</v>
      </c>
      <c r="K48" s="327">
        <f t="shared" si="28"/>
        <v>0</v>
      </c>
      <c r="L48" s="327">
        <f t="shared" si="28"/>
        <v>0</v>
      </c>
      <c r="M48" s="327">
        <f t="shared" si="28"/>
        <v>0</v>
      </c>
      <c r="N48" s="327">
        <f t="shared" si="28"/>
        <v>0</v>
      </c>
      <c r="O48" s="327">
        <f t="shared" si="28"/>
        <v>9090</v>
      </c>
      <c r="P48" s="327">
        <f t="shared" si="28"/>
        <v>0</v>
      </c>
      <c r="Q48" s="327">
        <f t="shared" si="28"/>
        <v>0</v>
      </c>
      <c r="R48" s="327">
        <f t="shared" si="28"/>
        <v>9090</v>
      </c>
      <c r="S48" s="327">
        <f t="shared" si="28"/>
        <v>5398.82</v>
      </c>
      <c r="T48" s="327">
        <f t="shared" si="28"/>
        <v>3691.1800000000003</v>
      </c>
      <c r="U48" s="327">
        <f t="shared" si="28"/>
        <v>0.21759999999999999</v>
      </c>
      <c r="V48" s="327">
        <f t="shared" si="28"/>
        <v>401.60038400000002</v>
      </c>
      <c r="W48" s="327">
        <f t="shared" si="28"/>
        <v>317.10000000000002</v>
      </c>
      <c r="X48" s="327">
        <f t="shared" si="28"/>
        <v>718.70038399999999</v>
      </c>
      <c r="Y48" s="327">
        <f t="shared" si="28"/>
        <v>0</v>
      </c>
      <c r="Z48" s="327">
        <f t="shared" si="28"/>
        <v>718.7</v>
      </c>
      <c r="AA48" s="327">
        <f t="shared" si="28"/>
        <v>0</v>
      </c>
      <c r="AB48" s="327">
        <f t="shared" si="28"/>
        <v>0</v>
      </c>
      <c r="AC48" s="327">
        <f t="shared" si="28"/>
        <v>718.7</v>
      </c>
      <c r="AD48" s="327">
        <f t="shared" si="28"/>
        <v>0</v>
      </c>
      <c r="AE48" s="327">
        <f t="shared" si="28"/>
        <v>0</v>
      </c>
      <c r="AF48" s="327">
        <f t="shared" si="28"/>
        <v>0</v>
      </c>
      <c r="AG48" s="327">
        <f t="shared" si="28"/>
        <v>0</v>
      </c>
      <c r="AH48" s="327">
        <f t="shared" si="28"/>
        <v>718.7</v>
      </c>
      <c r="AI48" s="312">
        <f t="shared" si="28"/>
        <v>8371.2999999999993</v>
      </c>
      <c r="AJ48" s="314"/>
      <c r="AK48" s="225"/>
      <c r="AL48" s="228">
        <f>O48+AB48-AH48</f>
        <v>8371.2999999999993</v>
      </c>
    </row>
    <row r="49" spans="2:38" ht="21.75" customHeight="1" x14ac:dyDescent="0.25">
      <c r="B49" s="544" t="s">
        <v>121</v>
      </c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  <c r="AJ49" s="544"/>
      <c r="AK49" s="225"/>
      <c r="AL49" s="225"/>
    </row>
    <row r="50" spans="2:38" s="103" customFormat="1" ht="25.5" customHeight="1" x14ac:dyDescent="0.25">
      <c r="B50" s="309">
        <v>23</v>
      </c>
      <c r="C50" s="344" t="s">
        <v>460</v>
      </c>
      <c r="D50" s="318" t="s">
        <v>113</v>
      </c>
      <c r="E50" s="341"/>
      <c r="F50" s="318">
        <v>15</v>
      </c>
      <c r="G50" s="319">
        <v>303</v>
      </c>
      <c r="H50" s="320">
        <f t="shared" ref="H50:H51" si="29">ROUND(F50*G50,2)</f>
        <v>4545</v>
      </c>
      <c r="I50" s="321">
        <v>0</v>
      </c>
      <c r="J50" s="321">
        <v>0</v>
      </c>
      <c r="K50" s="321">
        <v>0</v>
      </c>
      <c r="L50" s="321">
        <v>0</v>
      </c>
      <c r="M50" s="321">
        <v>0</v>
      </c>
      <c r="N50" s="321">
        <v>0</v>
      </c>
      <c r="O50" s="320">
        <f>SUM(H50:N50)</f>
        <v>4545</v>
      </c>
      <c r="P50" s="322"/>
      <c r="Q50" s="320">
        <f>IF(G50=47.16,0,IF(G50&gt;47.16,L50*0.5,0))</f>
        <v>0</v>
      </c>
      <c r="R50" s="320">
        <f>H50+I50+J50+M50+Q50+K50</f>
        <v>4545</v>
      </c>
      <c r="S50" s="320">
        <f>VLOOKUP(R50,TARIFA1,1)</f>
        <v>2699.41</v>
      </c>
      <c r="T50" s="320">
        <f>R50-S50</f>
        <v>1845.5900000000001</v>
      </c>
      <c r="U50" s="323">
        <f>VLOOKUP(R50,TARIFA1,3)</f>
        <v>0.10879999999999999</v>
      </c>
      <c r="V50" s="320">
        <f>T50*U50</f>
        <v>200.80019200000001</v>
      </c>
      <c r="W50" s="320">
        <f>VLOOKUP(R50,TARIFA1,2)</f>
        <v>158.55000000000001</v>
      </c>
      <c r="X50" s="320">
        <f>V50+W50</f>
        <v>359.35019199999999</v>
      </c>
      <c r="Y50" s="320">
        <f>VLOOKUP(R50,Credito1,2)</f>
        <v>0</v>
      </c>
      <c r="Z50" s="320">
        <f>ROUND(X50-Y50,2)</f>
        <v>359.35</v>
      </c>
      <c r="AA50" s="324"/>
      <c r="AB50" s="320">
        <f>-IF(Z50&gt;0,0,Z50)</f>
        <v>0</v>
      </c>
      <c r="AC50" s="320">
        <f>IF(Z50&lt;0,0,Z50)</f>
        <v>359.35</v>
      </c>
      <c r="AD50" s="320">
        <v>0</v>
      </c>
      <c r="AE50" s="321">
        <v>0</v>
      </c>
      <c r="AF50" s="321">
        <v>0</v>
      </c>
      <c r="AG50" s="325">
        <v>0</v>
      </c>
      <c r="AH50" s="320">
        <f>SUM(AC50:AG50)</f>
        <v>359.35</v>
      </c>
      <c r="AI50" s="311">
        <f>O50+AB50-AH50</f>
        <v>4185.6499999999996</v>
      </c>
      <c r="AJ50" s="315"/>
      <c r="AK50" s="225"/>
      <c r="AL50" s="225"/>
    </row>
    <row r="51" spans="2:38" ht="25.5" customHeight="1" x14ac:dyDescent="0.25">
      <c r="B51" s="309">
        <v>24</v>
      </c>
      <c r="C51" s="344" t="s">
        <v>464</v>
      </c>
      <c r="D51" s="318" t="s">
        <v>120</v>
      </c>
      <c r="E51" s="318"/>
      <c r="F51" s="318">
        <v>15</v>
      </c>
      <c r="G51" s="319">
        <v>222.733</v>
      </c>
      <c r="H51" s="320">
        <f t="shared" si="29"/>
        <v>3341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0</v>
      </c>
      <c r="O51" s="320">
        <f>SUM(H51:N51)</f>
        <v>3341</v>
      </c>
      <c r="P51" s="322"/>
      <c r="Q51" s="320">
        <f>IF(G51=47.16,0,IF(G51&gt;47.16,L51*0.5,0))</f>
        <v>0</v>
      </c>
      <c r="R51" s="320">
        <f>H51+I51+J51+M51+Q51+K51</f>
        <v>3341</v>
      </c>
      <c r="S51" s="320">
        <f>VLOOKUP(R51,TARIFA1,1)</f>
        <v>2699.41</v>
      </c>
      <c r="T51" s="320">
        <f>R51-S51</f>
        <v>641.59000000000015</v>
      </c>
      <c r="U51" s="323">
        <f>VLOOKUP(R51,TARIFA1,3)</f>
        <v>0.10879999999999999</v>
      </c>
      <c r="V51" s="320">
        <f>T51*U51</f>
        <v>69.804992000000013</v>
      </c>
      <c r="W51" s="320">
        <f>VLOOKUP(R51,TARIFA1,2)</f>
        <v>158.55000000000001</v>
      </c>
      <c r="X51" s="320">
        <f>V51+W51</f>
        <v>228.35499200000004</v>
      </c>
      <c r="Y51" s="320">
        <f>VLOOKUP(R51,Credito1,2)</f>
        <v>125.1</v>
      </c>
      <c r="Z51" s="320">
        <f>ROUND(X51-Y51,2)</f>
        <v>103.25</v>
      </c>
      <c r="AA51" s="324"/>
      <c r="AB51" s="320">
        <f>-IF(Z51&gt;0,0,Z51)</f>
        <v>0</v>
      </c>
      <c r="AC51" s="320">
        <f>IF(Z51&lt;0,0,Z51)</f>
        <v>103.25</v>
      </c>
      <c r="AD51" s="320">
        <v>0</v>
      </c>
      <c r="AE51" s="321">
        <v>0</v>
      </c>
      <c r="AF51" s="321">
        <v>0</v>
      </c>
      <c r="AG51" s="325">
        <v>0</v>
      </c>
      <c r="AH51" s="320">
        <f>SUM(AC51:AG51)</f>
        <v>103.25</v>
      </c>
      <c r="AI51" s="311">
        <f>O51+AB51-AH51</f>
        <v>3237.75</v>
      </c>
      <c r="AJ51" s="315"/>
      <c r="AK51" s="225" t="s">
        <v>267</v>
      </c>
      <c r="AL51" s="225"/>
    </row>
    <row r="52" spans="2:38" ht="25.5" customHeight="1" x14ac:dyDescent="0.25">
      <c r="B52" s="309"/>
      <c r="C52" s="344"/>
      <c r="D52" s="328" t="s">
        <v>111</v>
      </c>
      <c r="E52" s="538"/>
      <c r="F52" s="539"/>
      <c r="G52" s="326"/>
      <c r="H52" s="327">
        <f>SUM(H50:H51)</f>
        <v>7886</v>
      </c>
      <c r="I52" s="327">
        <f t="shared" ref="I52:AI52" si="30">SUM(I50:I51)</f>
        <v>0</v>
      </c>
      <c r="J52" s="327">
        <f t="shared" si="30"/>
        <v>0</v>
      </c>
      <c r="K52" s="327">
        <f t="shared" si="30"/>
        <v>0</v>
      </c>
      <c r="L52" s="327">
        <f t="shared" si="30"/>
        <v>0</v>
      </c>
      <c r="M52" s="327">
        <f t="shared" si="30"/>
        <v>0</v>
      </c>
      <c r="N52" s="327">
        <f t="shared" si="30"/>
        <v>0</v>
      </c>
      <c r="O52" s="327">
        <f t="shared" si="30"/>
        <v>7886</v>
      </c>
      <c r="P52" s="327">
        <f t="shared" si="30"/>
        <v>0</v>
      </c>
      <c r="Q52" s="327">
        <f t="shared" si="30"/>
        <v>0</v>
      </c>
      <c r="R52" s="327">
        <f t="shared" si="30"/>
        <v>7886</v>
      </c>
      <c r="S52" s="327">
        <f t="shared" si="30"/>
        <v>5398.82</v>
      </c>
      <c r="T52" s="327">
        <f t="shared" si="30"/>
        <v>2487.1800000000003</v>
      </c>
      <c r="U52" s="327">
        <f t="shared" si="30"/>
        <v>0.21759999999999999</v>
      </c>
      <c r="V52" s="327">
        <f t="shared" si="30"/>
        <v>270.60518400000001</v>
      </c>
      <c r="W52" s="327">
        <f t="shared" si="30"/>
        <v>317.10000000000002</v>
      </c>
      <c r="X52" s="327">
        <f t="shared" si="30"/>
        <v>587.70518400000003</v>
      </c>
      <c r="Y52" s="327">
        <f t="shared" si="30"/>
        <v>125.1</v>
      </c>
      <c r="Z52" s="327">
        <f t="shared" si="30"/>
        <v>462.6</v>
      </c>
      <c r="AA52" s="327">
        <f t="shared" si="30"/>
        <v>0</v>
      </c>
      <c r="AB52" s="327">
        <f t="shared" si="30"/>
        <v>0</v>
      </c>
      <c r="AC52" s="327">
        <f t="shared" si="30"/>
        <v>462.6</v>
      </c>
      <c r="AD52" s="327">
        <f t="shared" si="30"/>
        <v>0</v>
      </c>
      <c r="AE52" s="327">
        <f t="shared" si="30"/>
        <v>0</v>
      </c>
      <c r="AF52" s="327">
        <f t="shared" si="30"/>
        <v>0</v>
      </c>
      <c r="AG52" s="327">
        <f t="shared" si="30"/>
        <v>0</v>
      </c>
      <c r="AH52" s="327">
        <f t="shared" si="30"/>
        <v>462.6</v>
      </c>
      <c r="AI52" s="312">
        <f t="shared" si="30"/>
        <v>7423.4</v>
      </c>
      <c r="AJ52" s="315"/>
      <c r="AK52" s="225"/>
      <c r="AL52" s="229">
        <f>O52+AB52-AH52</f>
        <v>7423.4</v>
      </c>
    </row>
    <row r="53" spans="2:38" ht="27" customHeight="1" x14ac:dyDescent="0.25">
      <c r="B53" s="540" t="s">
        <v>122</v>
      </c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2"/>
      <c r="AK53" s="225"/>
      <c r="AL53" s="225"/>
    </row>
    <row r="54" spans="2:38" ht="24" customHeight="1" x14ac:dyDescent="0.25">
      <c r="B54" s="309">
        <v>25</v>
      </c>
      <c r="C54" s="344" t="s">
        <v>385</v>
      </c>
      <c r="D54" s="318" t="s">
        <v>113</v>
      </c>
      <c r="E54" s="341"/>
      <c r="F54" s="318">
        <v>15</v>
      </c>
      <c r="G54" s="319">
        <v>303</v>
      </c>
      <c r="H54" s="320">
        <f t="shared" ref="H54:H55" si="31">ROUND(F54*G54,2)</f>
        <v>4545</v>
      </c>
      <c r="I54" s="321">
        <v>0</v>
      </c>
      <c r="J54" s="321">
        <v>0</v>
      </c>
      <c r="K54" s="321">
        <v>0</v>
      </c>
      <c r="L54" s="321">
        <v>0</v>
      </c>
      <c r="M54" s="321">
        <v>0</v>
      </c>
      <c r="N54" s="321">
        <v>0</v>
      </c>
      <c r="O54" s="320">
        <f>SUM(H54:N54)</f>
        <v>4545</v>
      </c>
      <c r="P54" s="322"/>
      <c r="Q54" s="320">
        <f>IF(G54=47.16,0,IF(G54&gt;47.16,L54*0.5,0))</f>
        <v>0</v>
      </c>
      <c r="R54" s="320">
        <f>H54+I54+J54+M54+Q54+K54</f>
        <v>4545</v>
      </c>
      <c r="S54" s="320">
        <f>VLOOKUP(R54,TARIFA1,1)</f>
        <v>2699.41</v>
      </c>
      <c r="T54" s="320">
        <f>R54-S54</f>
        <v>1845.5900000000001</v>
      </c>
      <c r="U54" s="323">
        <f>VLOOKUP(R54,TARIFA1,3)</f>
        <v>0.10879999999999999</v>
      </c>
      <c r="V54" s="320">
        <f>T54*U54</f>
        <v>200.80019200000001</v>
      </c>
      <c r="W54" s="320">
        <f>VLOOKUP(R54,TARIFA1,2)</f>
        <v>158.55000000000001</v>
      </c>
      <c r="X54" s="320">
        <f>V54+W54</f>
        <v>359.35019199999999</v>
      </c>
      <c r="Y54" s="320">
        <f>VLOOKUP(R54,Credito1,2)</f>
        <v>0</v>
      </c>
      <c r="Z54" s="320">
        <f>ROUND(X54-Y54,2)</f>
        <v>359.35</v>
      </c>
      <c r="AA54" s="324"/>
      <c r="AB54" s="320">
        <f>-IF(Z54&gt;0,0,Z54)</f>
        <v>0</v>
      </c>
      <c r="AC54" s="320">
        <f>IF(Z54&lt;0,0,Z54)</f>
        <v>359.35</v>
      </c>
      <c r="AD54" s="320">
        <v>0</v>
      </c>
      <c r="AE54" s="321">
        <v>0</v>
      </c>
      <c r="AF54" s="321">
        <v>0</v>
      </c>
      <c r="AG54" s="325">
        <v>0</v>
      </c>
      <c r="AH54" s="320">
        <f>SUM(AC54:AG54)</f>
        <v>359.35</v>
      </c>
      <c r="AI54" s="311">
        <f>O54+AB54-AH54</f>
        <v>4185.6499999999996</v>
      </c>
      <c r="AJ54" s="315"/>
      <c r="AK54" s="225"/>
      <c r="AL54" s="225"/>
    </row>
    <row r="55" spans="2:38" ht="25.5" customHeight="1" x14ac:dyDescent="0.25">
      <c r="B55" s="309">
        <v>26</v>
      </c>
      <c r="C55" s="344" t="s">
        <v>430</v>
      </c>
      <c r="D55" s="318" t="s">
        <v>234</v>
      </c>
      <c r="E55" s="341"/>
      <c r="F55" s="318">
        <v>15</v>
      </c>
      <c r="G55" s="319">
        <v>130.4</v>
      </c>
      <c r="H55" s="320">
        <f t="shared" si="31"/>
        <v>1956</v>
      </c>
      <c r="I55" s="321">
        <v>0</v>
      </c>
      <c r="J55" s="321">
        <v>0</v>
      </c>
      <c r="K55" s="321">
        <v>0</v>
      </c>
      <c r="L55" s="321">
        <v>0</v>
      </c>
      <c r="M55" s="321">
        <v>0</v>
      </c>
      <c r="N55" s="321">
        <v>0</v>
      </c>
      <c r="O55" s="320">
        <f>SUM(H55:N55)</f>
        <v>1956</v>
      </c>
      <c r="P55" s="322"/>
      <c r="Q55" s="320">
        <f>IF(G55=47.16,0,IF(G55&gt;47.16,L55*0.5,0))</f>
        <v>0</v>
      </c>
      <c r="R55" s="320">
        <f>H55+I55+J55+M55+Q55+K55</f>
        <v>1956</v>
      </c>
      <c r="S55" s="320">
        <f>VLOOKUP(R55,TARIFA1,1)</f>
        <v>318.01</v>
      </c>
      <c r="T55" s="320">
        <f>R55-S55</f>
        <v>1637.99</v>
      </c>
      <c r="U55" s="323">
        <f>VLOOKUP(R55,TARIFA1,3)</f>
        <v>6.4000000000000001E-2</v>
      </c>
      <c r="V55" s="320">
        <f>T55*U55</f>
        <v>104.83136</v>
      </c>
      <c r="W55" s="320">
        <f>VLOOKUP(R55,TARIFA1,2)</f>
        <v>6.15</v>
      </c>
      <c r="X55" s="320">
        <f>V55+W55</f>
        <v>110.98136000000001</v>
      </c>
      <c r="Y55" s="320">
        <f>VLOOKUP(R55,Credito1,2)</f>
        <v>188.7</v>
      </c>
      <c r="Z55" s="320">
        <f>ROUND(X55-Y55,2)</f>
        <v>-77.72</v>
      </c>
      <c r="AA55" s="324"/>
      <c r="AB55" s="320">
        <f>-IF(Z55&gt;0,0,Z55)</f>
        <v>77.72</v>
      </c>
      <c r="AC55" s="320">
        <f>IF(Z55&lt;0,0,Z55)</f>
        <v>0</v>
      </c>
      <c r="AD55" s="320">
        <v>0</v>
      </c>
      <c r="AE55" s="321">
        <v>0</v>
      </c>
      <c r="AF55" s="321">
        <v>0</v>
      </c>
      <c r="AG55" s="325">
        <v>0</v>
      </c>
      <c r="AH55" s="320">
        <f>SUM(AC55:AG55)</f>
        <v>0</v>
      </c>
      <c r="AI55" s="311">
        <f>O55+AB55-AH55</f>
        <v>2033.72</v>
      </c>
      <c r="AJ55" s="315"/>
      <c r="AK55" s="225"/>
      <c r="AL55" s="225"/>
    </row>
    <row r="56" spans="2:38" ht="25.5" customHeight="1" x14ac:dyDescent="0.25">
      <c r="B56" s="309"/>
      <c r="C56" s="344"/>
      <c r="D56" s="328" t="s">
        <v>111</v>
      </c>
      <c r="E56" s="538"/>
      <c r="F56" s="539"/>
      <c r="G56" s="326"/>
      <c r="H56" s="327">
        <f>SUM(H54:H55)</f>
        <v>6501</v>
      </c>
      <c r="I56" s="327">
        <f t="shared" ref="I56:AI56" si="32">SUM(I54:I55)</f>
        <v>0</v>
      </c>
      <c r="J56" s="327">
        <f t="shared" si="32"/>
        <v>0</v>
      </c>
      <c r="K56" s="327">
        <f t="shared" si="32"/>
        <v>0</v>
      </c>
      <c r="L56" s="327">
        <f t="shared" si="32"/>
        <v>0</v>
      </c>
      <c r="M56" s="327">
        <f t="shared" si="32"/>
        <v>0</v>
      </c>
      <c r="N56" s="327">
        <f t="shared" si="32"/>
        <v>0</v>
      </c>
      <c r="O56" s="327">
        <f t="shared" si="32"/>
        <v>6501</v>
      </c>
      <c r="P56" s="327">
        <f t="shared" si="32"/>
        <v>0</v>
      </c>
      <c r="Q56" s="327">
        <f t="shared" si="32"/>
        <v>0</v>
      </c>
      <c r="R56" s="327">
        <f t="shared" si="32"/>
        <v>6501</v>
      </c>
      <c r="S56" s="327">
        <f t="shared" si="32"/>
        <v>3017.42</v>
      </c>
      <c r="T56" s="327">
        <f t="shared" si="32"/>
        <v>3483.58</v>
      </c>
      <c r="U56" s="327">
        <f t="shared" si="32"/>
        <v>0.17280000000000001</v>
      </c>
      <c r="V56" s="327">
        <f t="shared" si="32"/>
        <v>305.631552</v>
      </c>
      <c r="W56" s="327">
        <f t="shared" si="32"/>
        <v>164.70000000000002</v>
      </c>
      <c r="X56" s="327">
        <f t="shared" si="32"/>
        <v>470.33155199999999</v>
      </c>
      <c r="Y56" s="327">
        <f t="shared" si="32"/>
        <v>188.7</v>
      </c>
      <c r="Z56" s="327">
        <f t="shared" si="32"/>
        <v>281.63</v>
      </c>
      <c r="AA56" s="327">
        <f t="shared" si="32"/>
        <v>0</v>
      </c>
      <c r="AB56" s="327">
        <f t="shared" si="32"/>
        <v>77.72</v>
      </c>
      <c r="AC56" s="327">
        <f t="shared" si="32"/>
        <v>359.35</v>
      </c>
      <c r="AD56" s="327">
        <f t="shared" si="32"/>
        <v>0</v>
      </c>
      <c r="AE56" s="327">
        <f t="shared" si="32"/>
        <v>0</v>
      </c>
      <c r="AF56" s="327">
        <f t="shared" si="32"/>
        <v>0</v>
      </c>
      <c r="AG56" s="327">
        <f t="shared" si="32"/>
        <v>0</v>
      </c>
      <c r="AH56" s="327">
        <f t="shared" si="32"/>
        <v>359.35</v>
      </c>
      <c r="AI56" s="312">
        <f t="shared" si="32"/>
        <v>6219.37</v>
      </c>
      <c r="AJ56" s="314"/>
      <c r="AK56" s="225"/>
      <c r="AL56" s="228">
        <f>O56+AB56-AH56</f>
        <v>6219.37</v>
      </c>
    </row>
    <row r="57" spans="2:38" s="103" customFormat="1" ht="26.25" customHeight="1" x14ac:dyDescent="0.25">
      <c r="B57" s="540" t="s">
        <v>172</v>
      </c>
      <c r="C57" s="541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1"/>
      <c r="S57" s="541"/>
      <c r="T57" s="541"/>
      <c r="U57" s="541"/>
      <c r="V57" s="541"/>
      <c r="W57" s="541"/>
      <c r="X57" s="541"/>
      <c r="Y57" s="541"/>
      <c r="Z57" s="541"/>
      <c r="AA57" s="541"/>
      <c r="AB57" s="541"/>
      <c r="AC57" s="541"/>
      <c r="AD57" s="541"/>
      <c r="AE57" s="541"/>
      <c r="AF57" s="541"/>
      <c r="AG57" s="541"/>
      <c r="AH57" s="541"/>
      <c r="AI57" s="541"/>
      <c r="AJ57" s="542"/>
      <c r="AK57" s="225"/>
      <c r="AL57" s="225"/>
    </row>
    <row r="58" spans="2:38" s="103" customFormat="1" ht="22.5" customHeight="1" x14ac:dyDescent="0.25">
      <c r="B58" s="309">
        <v>27</v>
      </c>
      <c r="C58" s="344" t="s">
        <v>375</v>
      </c>
      <c r="D58" s="318" t="s">
        <v>113</v>
      </c>
      <c r="E58" s="341"/>
      <c r="F58" s="318">
        <v>15</v>
      </c>
      <c r="G58" s="319">
        <v>303</v>
      </c>
      <c r="H58" s="320">
        <f>F58*G58</f>
        <v>4545</v>
      </c>
      <c r="I58" s="321">
        <v>0</v>
      </c>
      <c r="J58" s="321">
        <v>0</v>
      </c>
      <c r="K58" s="321">
        <v>0</v>
      </c>
      <c r="L58" s="321">
        <v>0</v>
      </c>
      <c r="M58" s="321">
        <v>0</v>
      </c>
      <c r="N58" s="321">
        <v>0</v>
      </c>
      <c r="O58" s="320">
        <f>SUM(H58:N58)</f>
        <v>4545</v>
      </c>
      <c r="P58" s="322"/>
      <c r="Q58" s="320">
        <f>IF(G58=47.16,0,IF(G58&gt;47.16,L58*0.5,0))</f>
        <v>0</v>
      </c>
      <c r="R58" s="320">
        <f>H58+I58+J58+M58+Q58+K58</f>
        <v>4545</v>
      </c>
      <c r="S58" s="320">
        <f>VLOOKUP(R58,TARIFA1,1)</f>
        <v>2699.41</v>
      </c>
      <c r="T58" s="320">
        <f>R58-S58</f>
        <v>1845.5900000000001</v>
      </c>
      <c r="U58" s="323">
        <f>VLOOKUP(R58,TARIFA1,3)</f>
        <v>0.10879999999999999</v>
      </c>
      <c r="V58" s="320">
        <f>T58*U58</f>
        <v>200.80019200000001</v>
      </c>
      <c r="W58" s="320">
        <f>VLOOKUP(R58,TARIFA1,2)</f>
        <v>158.55000000000001</v>
      </c>
      <c r="X58" s="320">
        <f>V58+W58</f>
        <v>359.35019199999999</v>
      </c>
      <c r="Y58" s="320">
        <f>VLOOKUP(R58,Credito1,2)</f>
        <v>0</v>
      </c>
      <c r="Z58" s="320">
        <f>ROUND(X58-Y58,2)</f>
        <v>359.35</v>
      </c>
      <c r="AA58" s="324"/>
      <c r="AB58" s="320">
        <f>-IF(Z58&gt;0,0,Z58)</f>
        <v>0</v>
      </c>
      <c r="AC58" s="320">
        <f>IF(Z58&lt;0,0,Z58)</f>
        <v>359.35</v>
      </c>
      <c r="AD58" s="320">
        <v>0</v>
      </c>
      <c r="AE58" s="321">
        <v>0</v>
      </c>
      <c r="AF58" s="321">
        <v>0</v>
      </c>
      <c r="AG58" s="325">
        <v>0</v>
      </c>
      <c r="AH58" s="320">
        <f>SUM(AC58:AG58)</f>
        <v>359.35</v>
      </c>
      <c r="AI58" s="311">
        <f>O58+AB58-AH58</f>
        <v>4185.6499999999996</v>
      </c>
      <c r="AJ58" s="315"/>
      <c r="AK58" s="225"/>
      <c r="AL58" s="225"/>
    </row>
    <row r="59" spans="2:38" s="103" customFormat="1" ht="21" customHeight="1" x14ac:dyDescent="0.25">
      <c r="B59" s="309"/>
      <c r="C59" s="344"/>
      <c r="D59" s="328" t="s">
        <v>111</v>
      </c>
      <c r="E59" s="538"/>
      <c r="F59" s="539"/>
      <c r="G59" s="326"/>
      <c r="H59" s="327">
        <f t="shared" ref="H59:O59" si="33">SUM(H58:H58)</f>
        <v>4545</v>
      </c>
      <c r="I59" s="327">
        <f t="shared" si="33"/>
        <v>0</v>
      </c>
      <c r="J59" s="327">
        <f t="shared" si="33"/>
        <v>0</v>
      </c>
      <c r="K59" s="327">
        <f t="shared" si="33"/>
        <v>0</v>
      </c>
      <c r="L59" s="327">
        <f t="shared" si="33"/>
        <v>0</v>
      </c>
      <c r="M59" s="327">
        <f t="shared" si="33"/>
        <v>0</v>
      </c>
      <c r="N59" s="327">
        <f t="shared" si="33"/>
        <v>0</v>
      </c>
      <c r="O59" s="327">
        <f t="shared" si="33"/>
        <v>4545</v>
      </c>
      <c r="P59" s="327"/>
      <c r="Q59" s="327">
        <f t="shared" ref="Q59:Z59" si="34">SUM(Q58:Q58)</f>
        <v>0</v>
      </c>
      <c r="R59" s="327">
        <f t="shared" si="34"/>
        <v>4545</v>
      </c>
      <c r="S59" s="327">
        <f t="shared" si="34"/>
        <v>2699.41</v>
      </c>
      <c r="T59" s="327">
        <f t="shared" si="34"/>
        <v>1845.5900000000001</v>
      </c>
      <c r="U59" s="327">
        <f t="shared" si="34"/>
        <v>0.10879999999999999</v>
      </c>
      <c r="V59" s="327">
        <f t="shared" si="34"/>
        <v>200.80019200000001</v>
      </c>
      <c r="W59" s="327">
        <f t="shared" si="34"/>
        <v>158.55000000000001</v>
      </c>
      <c r="X59" s="327">
        <f t="shared" si="34"/>
        <v>359.35019199999999</v>
      </c>
      <c r="Y59" s="327">
        <f t="shared" si="34"/>
        <v>0</v>
      </c>
      <c r="Z59" s="327">
        <f t="shared" si="34"/>
        <v>359.35</v>
      </c>
      <c r="AA59" s="327"/>
      <c r="AB59" s="327">
        <f t="shared" ref="AB59:AI59" si="35">SUM(AB58:AB58)</f>
        <v>0</v>
      </c>
      <c r="AC59" s="327">
        <f t="shared" si="35"/>
        <v>359.35</v>
      </c>
      <c r="AD59" s="327">
        <f t="shared" si="35"/>
        <v>0</v>
      </c>
      <c r="AE59" s="327">
        <f t="shared" si="35"/>
        <v>0</v>
      </c>
      <c r="AF59" s="327">
        <f t="shared" si="35"/>
        <v>0</v>
      </c>
      <c r="AG59" s="327">
        <f t="shared" si="35"/>
        <v>0</v>
      </c>
      <c r="AH59" s="327">
        <f t="shared" si="35"/>
        <v>359.35</v>
      </c>
      <c r="AI59" s="312">
        <f t="shared" si="35"/>
        <v>4185.6499999999996</v>
      </c>
      <c r="AJ59" s="314"/>
      <c r="AK59" s="225"/>
      <c r="AL59" s="228">
        <f>O59+AB59-AH59</f>
        <v>4185.6499999999996</v>
      </c>
    </row>
    <row r="60" spans="2:38" s="103" customFormat="1" ht="22.5" customHeight="1" x14ac:dyDescent="0.25">
      <c r="B60" s="544" t="s">
        <v>123</v>
      </c>
      <c r="C60" s="544"/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44"/>
      <c r="AD60" s="544"/>
      <c r="AE60" s="544"/>
      <c r="AF60" s="544"/>
      <c r="AG60" s="544"/>
      <c r="AH60" s="544"/>
      <c r="AI60" s="544"/>
      <c r="AJ60" s="544"/>
      <c r="AK60" s="225"/>
      <c r="AL60" s="225"/>
    </row>
    <row r="61" spans="2:38" s="103" customFormat="1" ht="21" customHeight="1" x14ac:dyDescent="0.25">
      <c r="B61" s="309">
        <v>28</v>
      </c>
      <c r="C61" s="344" t="s">
        <v>507</v>
      </c>
      <c r="D61" s="318" t="s">
        <v>177</v>
      </c>
      <c r="E61" s="341"/>
      <c r="F61" s="318">
        <v>15</v>
      </c>
      <c r="G61" s="319">
        <v>106.6666</v>
      </c>
      <c r="H61" s="320">
        <f t="shared" ref="H61:H62" si="36">ROUND(F61*G61,2)</f>
        <v>1600</v>
      </c>
      <c r="I61" s="321">
        <v>0</v>
      </c>
      <c r="J61" s="321">
        <v>0</v>
      </c>
      <c r="K61" s="321">
        <v>0</v>
      </c>
      <c r="L61" s="321">
        <v>0</v>
      </c>
      <c r="M61" s="321">
        <v>0</v>
      </c>
      <c r="N61" s="321">
        <v>0</v>
      </c>
      <c r="O61" s="320">
        <f>SUM(H61:N61)</f>
        <v>1600</v>
      </c>
      <c r="P61" s="322"/>
      <c r="Q61" s="320">
        <f>IF(G61=47.16,0,IF(G61&gt;47.16,L61*0.5,0))</f>
        <v>0</v>
      </c>
      <c r="R61" s="320">
        <f>H61+I61+J61+M61+Q61+K61</f>
        <v>1600</v>
      </c>
      <c r="S61" s="320">
        <f>VLOOKUP(R61,TARIFA1,1)</f>
        <v>318.01</v>
      </c>
      <c r="T61" s="320">
        <f>R61-S61</f>
        <v>1281.99</v>
      </c>
      <c r="U61" s="323">
        <f>VLOOKUP(R61,TARIFA1,3)</f>
        <v>6.4000000000000001E-2</v>
      </c>
      <c r="V61" s="320">
        <f>T61*U61</f>
        <v>82.047359999999998</v>
      </c>
      <c r="W61" s="320">
        <f>VLOOKUP(R61,TARIFA1,2)</f>
        <v>6.15</v>
      </c>
      <c r="X61" s="320">
        <f>V61+W61</f>
        <v>88.197360000000003</v>
      </c>
      <c r="Y61" s="320">
        <f>VLOOKUP(R61,Credito1,2)</f>
        <v>200.7</v>
      </c>
      <c r="Z61" s="320">
        <f>ROUND(X61-Y61,2)</f>
        <v>-112.5</v>
      </c>
      <c r="AA61" s="324"/>
      <c r="AB61" s="320">
        <f>-IF(Z61&gt;0,0,Z61)</f>
        <v>112.5</v>
      </c>
      <c r="AC61" s="320">
        <f>IF(Z61&lt;0,0,Z61)</f>
        <v>0</v>
      </c>
      <c r="AD61" s="320">
        <v>0</v>
      </c>
      <c r="AE61" s="321">
        <v>0</v>
      </c>
      <c r="AF61" s="321">
        <v>0</v>
      </c>
      <c r="AG61" s="325">
        <v>0</v>
      </c>
      <c r="AH61" s="320">
        <f>SUM(AC61:AG61)</f>
        <v>0</v>
      </c>
      <c r="AI61" s="311">
        <f>O61+AB61-AH61</f>
        <v>1712.5</v>
      </c>
      <c r="AJ61" s="315"/>
      <c r="AK61" s="225"/>
      <c r="AL61" s="225"/>
    </row>
    <row r="62" spans="2:38" s="103" customFormat="1" ht="21" customHeight="1" x14ac:dyDescent="0.25">
      <c r="B62" s="309">
        <v>29</v>
      </c>
      <c r="C62" s="344" t="s">
        <v>449</v>
      </c>
      <c r="D62" s="318" t="s">
        <v>177</v>
      </c>
      <c r="E62" s="341"/>
      <c r="F62" s="318">
        <v>15</v>
      </c>
      <c r="G62" s="319">
        <v>106.6666</v>
      </c>
      <c r="H62" s="320">
        <f t="shared" si="36"/>
        <v>1600</v>
      </c>
      <c r="I62" s="321">
        <v>0</v>
      </c>
      <c r="J62" s="321">
        <v>0</v>
      </c>
      <c r="K62" s="321">
        <v>0</v>
      </c>
      <c r="L62" s="321">
        <v>0</v>
      </c>
      <c r="M62" s="321">
        <v>0</v>
      </c>
      <c r="N62" s="321">
        <v>0</v>
      </c>
      <c r="O62" s="320">
        <f>SUM(H62:N62)</f>
        <v>1600</v>
      </c>
      <c r="P62" s="322"/>
      <c r="Q62" s="320">
        <v>0</v>
      </c>
      <c r="R62" s="320">
        <f>H62+I62+J62+M62+Q62+K62</f>
        <v>1600</v>
      </c>
      <c r="S62" s="320">
        <f>VLOOKUP(R62,TARIFA1,1)</f>
        <v>318.01</v>
      </c>
      <c r="T62" s="320">
        <f>R62-S62</f>
        <v>1281.99</v>
      </c>
      <c r="U62" s="323">
        <f>VLOOKUP(R62,TARIFA1,3)</f>
        <v>6.4000000000000001E-2</v>
      </c>
      <c r="V62" s="320">
        <f>T62*U62</f>
        <v>82.047359999999998</v>
      </c>
      <c r="W62" s="320">
        <f>VLOOKUP(R62,TARIFA1,2)</f>
        <v>6.15</v>
      </c>
      <c r="X62" s="320">
        <f>V62+W62</f>
        <v>88.197360000000003</v>
      </c>
      <c r="Y62" s="320">
        <f>VLOOKUP(R62,Credito1,2)</f>
        <v>200.7</v>
      </c>
      <c r="Z62" s="320">
        <f>ROUND(X62-Y62,2)</f>
        <v>-112.5</v>
      </c>
      <c r="AA62" s="324"/>
      <c r="AB62" s="320">
        <f>-IF(Z62&gt;0,0,Z62)</f>
        <v>112.5</v>
      </c>
      <c r="AC62" s="320">
        <f>IF(Z62&lt;0,0,Z62)</f>
        <v>0</v>
      </c>
      <c r="AD62" s="320">
        <v>0</v>
      </c>
      <c r="AE62" s="321">
        <v>0</v>
      </c>
      <c r="AF62" s="321">
        <v>0</v>
      </c>
      <c r="AG62" s="325">
        <v>0</v>
      </c>
      <c r="AH62" s="320">
        <f>SUM(AC62:AG62)</f>
        <v>0</v>
      </c>
      <c r="AI62" s="311">
        <f>O62+AB62-AH62</f>
        <v>1712.5</v>
      </c>
      <c r="AJ62" s="315"/>
      <c r="AK62" s="225"/>
      <c r="AL62" s="225"/>
    </row>
    <row r="63" spans="2:38" s="103" customFormat="1" ht="18" customHeight="1" x14ac:dyDescent="0.25">
      <c r="B63" s="309"/>
      <c r="C63" s="344"/>
      <c r="D63" s="328" t="s">
        <v>111</v>
      </c>
      <c r="E63" s="328"/>
      <c r="F63" s="318">
        <v>15</v>
      </c>
      <c r="G63" s="326"/>
      <c r="H63" s="327">
        <f>SUM(H61:H62)</f>
        <v>3200</v>
      </c>
      <c r="I63" s="327">
        <f t="shared" ref="I63:N63" si="37">SUM(I61:I61)</f>
        <v>0</v>
      </c>
      <c r="J63" s="327">
        <f t="shared" si="37"/>
        <v>0</v>
      </c>
      <c r="K63" s="327">
        <f t="shared" si="37"/>
        <v>0</v>
      </c>
      <c r="L63" s="327">
        <f t="shared" si="37"/>
        <v>0</v>
      </c>
      <c r="M63" s="327">
        <f t="shared" si="37"/>
        <v>0</v>
      </c>
      <c r="N63" s="327">
        <f t="shared" si="37"/>
        <v>0</v>
      </c>
      <c r="O63" s="327">
        <f>SUM(O61:O62)</f>
        <v>3200</v>
      </c>
      <c r="P63" s="327">
        <f>SUM(P61:P61)</f>
        <v>0</v>
      </c>
      <c r="Q63" s="327">
        <f>SUM(Q61:Q61)</f>
        <v>0</v>
      </c>
      <c r="R63" s="327">
        <f>SUM(R61:R61)</f>
        <v>1600</v>
      </c>
      <c r="S63" s="320">
        <f>VLOOKUP(R63,TARIFA1,1)</f>
        <v>318.01</v>
      </c>
      <c r="T63" s="327">
        <f t="shared" ref="T63:Z63" si="38">SUM(T61:T61)</f>
        <v>1281.99</v>
      </c>
      <c r="U63" s="327">
        <f t="shared" si="38"/>
        <v>6.4000000000000001E-2</v>
      </c>
      <c r="V63" s="327">
        <f t="shared" si="38"/>
        <v>82.047359999999998</v>
      </c>
      <c r="W63" s="327">
        <f t="shared" si="38"/>
        <v>6.15</v>
      </c>
      <c r="X63" s="327">
        <f t="shared" si="38"/>
        <v>88.197360000000003</v>
      </c>
      <c r="Y63" s="327">
        <f t="shared" si="38"/>
        <v>200.7</v>
      </c>
      <c r="Z63" s="327">
        <f t="shared" si="38"/>
        <v>-112.5</v>
      </c>
      <c r="AA63" s="327"/>
      <c r="AB63" s="327">
        <f>SUM(AB61:AB62)</f>
        <v>225</v>
      </c>
      <c r="AC63" s="327">
        <f>SUM(AC61:AC62)</f>
        <v>0</v>
      </c>
      <c r="AD63" s="327">
        <f>SUM(AD61:AD61)</f>
        <v>0</v>
      </c>
      <c r="AE63" s="327">
        <f>SUM(AE61:AE61)</f>
        <v>0</v>
      </c>
      <c r="AF63" s="327">
        <f>SUM(AF61:AF61)</f>
        <v>0</v>
      </c>
      <c r="AG63" s="327">
        <f>SUM(AG61:AG61)</f>
        <v>0</v>
      </c>
      <c r="AH63" s="327">
        <f>SUM(AH61:AH62)</f>
        <v>0</v>
      </c>
      <c r="AI63" s="312">
        <f>SUM(AI61:AI62)</f>
        <v>3425</v>
      </c>
      <c r="AJ63" s="314"/>
      <c r="AK63" s="225"/>
      <c r="AL63" s="228">
        <f>O63+AB63-AH63</f>
        <v>3425</v>
      </c>
    </row>
    <row r="64" spans="2:38" ht="24" customHeight="1" x14ac:dyDescent="0.25">
      <c r="B64" s="540" t="s">
        <v>124</v>
      </c>
      <c r="C64" s="541"/>
      <c r="D64" s="541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541"/>
      <c r="Z64" s="541"/>
      <c r="AA64" s="541"/>
      <c r="AB64" s="541"/>
      <c r="AC64" s="541"/>
      <c r="AD64" s="541"/>
      <c r="AE64" s="541"/>
      <c r="AF64" s="541"/>
      <c r="AG64" s="541"/>
      <c r="AH64" s="541"/>
      <c r="AI64" s="541"/>
      <c r="AJ64" s="542"/>
      <c r="AK64" s="225"/>
      <c r="AL64" s="225"/>
    </row>
    <row r="65" spans="2:38" s="103" customFormat="1" ht="21" customHeight="1" x14ac:dyDescent="0.25">
      <c r="B65" s="309">
        <v>30</v>
      </c>
      <c r="C65" s="346" t="s">
        <v>448</v>
      </c>
      <c r="D65" s="318" t="s">
        <v>233</v>
      </c>
      <c r="E65" s="341"/>
      <c r="F65" s="318">
        <v>15</v>
      </c>
      <c r="G65" s="319">
        <v>448.4</v>
      </c>
      <c r="H65" s="320">
        <f t="shared" ref="H65:H70" si="39">ROUND(F65*G65,2)</f>
        <v>6726</v>
      </c>
      <c r="I65" s="320">
        <v>0</v>
      </c>
      <c r="J65" s="320">
        <v>0</v>
      </c>
      <c r="K65" s="320">
        <v>0</v>
      </c>
      <c r="L65" s="320">
        <v>0</v>
      </c>
      <c r="M65" s="320">
        <v>0</v>
      </c>
      <c r="N65" s="320">
        <v>0</v>
      </c>
      <c r="O65" s="320">
        <f t="shared" ref="O65:O70" si="40">SUM(H65:N65)</f>
        <v>6726</v>
      </c>
      <c r="P65" s="320"/>
      <c r="Q65" s="320">
        <v>0</v>
      </c>
      <c r="R65" s="320">
        <f t="shared" ref="R65:R70" si="41">H65+I65+J65+M65+Q65+K65</f>
        <v>6726</v>
      </c>
      <c r="S65" s="320">
        <f t="shared" ref="S65:S70" si="42">VLOOKUP(R65,TARIFA1,1)</f>
        <v>6602.71</v>
      </c>
      <c r="T65" s="320">
        <f t="shared" ref="T65:T70" si="43">R65-S65</f>
        <v>123.28999999999996</v>
      </c>
      <c r="U65" s="323">
        <f t="shared" ref="U65:U70" si="44">VLOOKUP(R65,TARIFA1,3)</f>
        <v>0.21360000000000001</v>
      </c>
      <c r="V65" s="320">
        <f t="shared" ref="V65:V70" si="45">T65*U65</f>
        <v>26.334743999999993</v>
      </c>
      <c r="W65" s="320">
        <f t="shared" ref="W65:W70" si="46">VLOOKUP(R65,TARIFA1,2)</f>
        <v>699.3</v>
      </c>
      <c r="X65" s="320">
        <f t="shared" ref="X65:X70" si="47">V65+W65</f>
        <v>725.63474399999996</v>
      </c>
      <c r="Y65" s="320">
        <f t="shared" ref="Y65:Y70" si="48">VLOOKUP(R65,Credito1,2)</f>
        <v>0</v>
      </c>
      <c r="Z65" s="320">
        <f t="shared" ref="Z65:Z70" si="49">ROUND(X65-Y65,2)</f>
        <v>725.63</v>
      </c>
      <c r="AA65" s="320"/>
      <c r="AB65" s="320">
        <f t="shared" ref="AB65:AB70" si="50">-IF(Z65&gt;0,0,Z65)</f>
        <v>0</v>
      </c>
      <c r="AC65" s="320">
        <f t="shared" ref="AC65:AC70" si="51">IF(Z65&lt;0,0,Z65)</f>
        <v>725.63</v>
      </c>
      <c r="AD65" s="320">
        <v>0</v>
      </c>
      <c r="AE65" s="320">
        <v>0</v>
      </c>
      <c r="AF65" s="320">
        <v>0</v>
      </c>
      <c r="AG65" s="320">
        <v>0</v>
      </c>
      <c r="AH65" s="320">
        <f t="shared" ref="AH65:AH70" si="52">SUM(AC65:AG65)</f>
        <v>725.63</v>
      </c>
      <c r="AI65" s="311">
        <f t="shared" ref="AI65:AI70" si="53">O65+AB65-AH65</f>
        <v>6000.37</v>
      </c>
      <c r="AJ65" s="315"/>
      <c r="AK65" s="225"/>
      <c r="AL65" s="225"/>
    </row>
    <row r="66" spans="2:38" ht="22.5" customHeight="1" x14ac:dyDescent="0.25">
      <c r="B66" s="309">
        <v>31</v>
      </c>
      <c r="C66" s="344" t="s">
        <v>472</v>
      </c>
      <c r="D66" s="318" t="s">
        <v>120</v>
      </c>
      <c r="E66" s="341"/>
      <c r="F66" s="318">
        <v>15</v>
      </c>
      <c r="G66" s="319">
        <v>251.93299999999999</v>
      </c>
      <c r="H66" s="320">
        <f t="shared" si="39"/>
        <v>3779</v>
      </c>
      <c r="I66" s="321">
        <v>0</v>
      </c>
      <c r="J66" s="321">
        <v>0</v>
      </c>
      <c r="K66" s="321">
        <v>0</v>
      </c>
      <c r="L66" s="321">
        <v>0</v>
      </c>
      <c r="M66" s="321">
        <v>0</v>
      </c>
      <c r="N66" s="321">
        <v>0</v>
      </c>
      <c r="O66" s="320">
        <f t="shared" si="40"/>
        <v>3779</v>
      </c>
      <c r="P66" s="322"/>
      <c r="Q66" s="320">
        <f t="shared" ref="Q66:Q70" si="54">IF(G66=47.16,0,IF(G66&gt;47.16,L66*0.5,0))</f>
        <v>0</v>
      </c>
      <c r="R66" s="320">
        <f t="shared" si="41"/>
        <v>3779</v>
      </c>
      <c r="S66" s="320">
        <f t="shared" si="42"/>
        <v>2699.41</v>
      </c>
      <c r="T66" s="320">
        <f t="shared" si="43"/>
        <v>1079.5900000000001</v>
      </c>
      <c r="U66" s="323">
        <f t="shared" si="44"/>
        <v>0.10879999999999999</v>
      </c>
      <c r="V66" s="320">
        <f t="shared" si="45"/>
        <v>117.45939200000001</v>
      </c>
      <c r="W66" s="320">
        <f t="shared" si="46"/>
        <v>158.55000000000001</v>
      </c>
      <c r="X66" s="320">
        <f t="shared" si="47"/>
        <v>276.00939200000005</v>
      </c>
      <c r="Y66" s="320">
        <f t="shared" si="48"/>
        <v>0</v>
      </c>
      <c r="Z66" s="320">
        <f t="shared" si="49"/>
        <v>276.01</v>
      </c>
      <c r="AA66" s="324"/>
      <c r="AB66" s="320">
        <f t="shared" si="50"/>
        <v>0</v>
      </c>
      <c r="AC66" s="320">
        <f t="shared" si="51"/>
        <v>276.01</v>
      </c>
      <c r="AD66" s="320">
        <v>0</v>
      </c>
      <c r="AE66" s="321">
        <v>0</v>
      </c>
      <c r="AF66" s="321">
        <v>0</v>
      </c>
      <c r="AG66" s="325">
        <v>0</v>
      </c>
      <c r="AH66" s="320">
        <f t="shared" si="52"/>
        <v>276.01</v>
      </c>
      <c r="AI66" s="311">
        <f t="shared" si="53"/>
        <v>3502.99</v>
      </c>
      <c r="AJ66" s="315"/>
      <c r="AK66" s="225"/>
      <c r="AL66" s="225"/>
    </row>
    <row r="67" spans="2:38" ht="22.5" customHeight="1" x14ac:dyDescent="0.25">
      <c r="B67" s="309">
        <v>32</v>
      </c>
      <c r="C67" s="344" t="s">
        <v>426</v>
      </c>
      <c r="D67" s="318" t="s">
        <v>125</v>
      </c>
      <c r="E67" s="341"/>
      <c r="F67" s="318">
        <v>15</v>
      </c>
      <c r="G67" s="319">
        <v>168.06659999999999</v>
      </c>
      <c r="H67" s="320">
        <f t="shared" si="39"/>
        <v>2521</v>
      </c>
      <c r="I67" s="321">
        <v>0</v>
      </c>
      <c r="J67" s="321">
        <v>0</v>
      </c>
      <c r="K67" s="321">
        <v>0</v>
      </c>
      <c r="L67" s="321">
        <v>0</v>
      </c>
      <c r="M67" s="321">
        <v>0</v>
      </c>
      <c r="N67" s="321">
        <v>0</v>
      </c>
      <c r="O67" s="320">
        <f t="shared" si="40"/>
        <v>2521</v>
      </c>
      <c r="P67" s="322"/>
      <c r="Q67" s="320">
        <f t="shared" si="54"/>
        <v>0</v>
      </c>
      <c r="R67" s="320">
        <f t="shared" si="41"/>
        <v>2521</v>
      </c>
      <c r="S67" s="320">
        <f t="shared" si="42"/>
        <v>318.01</v>
      </c>
      <c r="T67" s="320">
        <f t="shared" si="43"/>
        <v>2202.9899999999998</v>
      </c>
      <c r="U67" s="323">
        <f t="shared" si="44"/>
        <v>6.4000000000000001E-2</v>
      </c>
      <c r="V67" s="320">
        <f t="shared" si="45"/>
        <v>140.99135999999999</v>
      </c>
      <c r="W67" s="320">
        <f t="shared" si="46"/>
        <v>6.15</v>
      </c>
      <c r="X67" s="320">
        <f t="shared" si="47"/>
        <v>147.14135999999999</v>
      </c>
      <c r="Y67" s="320">
        <f t="shared" si="48"/>
        <v>160.35</v>
      </c>
      <c r="Z67" s="320">
        <f t="shared" si="49"/>
        <v>-13.21</v>
      </c>
      <c r="AA67" s="324"/>
      <c r="AB67" s="320">
        <f t="shared" si="50"/>
        <v>13.21</v>
      </c>
      <c r="AC67" s="320">
        <f t="shared" si="51"/>
        <v>0</v>
      </c>
      <c r="AD67" s="320">
        <v>0</v>
      </c>
      <c r="AE67" s="321">
        <v>0</v>
      </c>
      <c r="AF67" s="321">
        <v>0</v>
      </c>
      <c r="AG67" s="325">
        <v>0</v>
      </c>
      <c r="AH67" s="320">
        <f t="shared" si="52"/>
        <v>0</v>
      </c>
      <c r="AI67" s="311">
        <f t="shared" si="53"/>
        <v>2534.21</v>
      </c>
      <c r="AJ67" s="315"/>
      <c r="AK67" s="225"/>
      <c r="AL67" s="225"/>
    </row>
    <row r="68" spans="2:38" ht="22.5" customHeight="1" x14ac:dyDescent="0.25">
      <c r="B68" s="309">
        <v>33</v>
      </c>
      <c r="C68" s="344" t="s">
        <v>488</v>
      </c>
      <c r="D68" s="318" t="s">
        <v>126</v>
      </c>
      <c r="E68" s="341"/>
      <c r="F68" s="318">
        <v>15</v>
      </c>
      <c r="G68" s="319">
        <v>168.06659999999999</v>
      </c>
      <c r="H68" s="320">
        <f t="shared" si="39"/>
        <v>2521</v>
      </c>
      <c r="I68" s="321">
        <v>0</v>
      </c>
      <c r="J68" s="321">
        <v>0</v>
      </c>
      <c r="K68" s="321">
        <v>0</v>
      </c>
      <c r="L68" s="321">
        <v>0</v>
      </c>
      <c r="M68" s="321">
        <v>0</v>
      </c>
      <c r="N68" s="321">
        <v>0</v>
      </c>
      <c r="O68" s="320">
        <f t="shared" si="40"/>
        <v>2521</v>
      </c>
      <c r="P68" s="322"/>
      <c r="Q68" s="320">
        <f t="shared" si="54"/>
        <v>0</v>
      </c>
      <c r="R68" s="320">
        <f t="shared" si="41"/>
        <v>2521</v>
      </c>
      <c r="S68" s="320">
        <f t="shared" si="42"/>
        <v>318.01</v>
      </c>
      <c r="T68" s="320">
        <f t="shared" si="43"/>
        <v>2202.9899999999998</v>
      </c>
      <c r="U68" s="323">
        <f t="shared" si="44"/>
        <v>6.4000000000000001E-2</v>
      </c>
      <c r="V68" s="320">
        <f t="shared" si="45"/>
        <v>140.99135999999999</v>
      </c>
      <c r="W68" s="320">
        <f t="shared" si="46"/>
        <v>6.15</v>
      </c>
      <c r="X68" s="320">
        <f t="shared" si="47"/>
        <v>147.14135999999999</v>
      </c>
      <c r="Y68" s="320">
        <f t="shared" si="48"/>
        <v>160.35</v>
      </c>
      <c r="Z68" s="320">
        <f t="shared" si="49"/>
        <v>-13.21</v>
      </c>
      <c r="AA68" s="324"/>
      <c r="AB68" s="320">
        <f t="shared" si="50"/>
        <v>13.21</v>
      </c>
      <c r="AC68" s="320">
        <f t="shared" si="51"/>
        <v>0</v>
      </c>
      <c r="AD68" s="320">
        <v>0</v>
      </c>
      <c r="AE68" s="321">
        <v>0</v>
      </c>
      <c r="AF68" s="321">
        <v>0</v>
      </c>
      <c r="AG68" s="325">
        <v>0</v>
      </c>
      <c r="AH68" s="320">
        <f t="shared" si="52"/>
        <v>0</v>
      </c>
      <c r="AI68" s="311">
        <f t="shared" si="53"/>
        <v>2534.21</v>
      </c>
      <c r="AJ68" s="315"/>
      <c r="AK68" s="225"/>
      <c r="AL68" s="225"/>
    </row>
    <row r="69" spans="2:38" ht="22.5" customHeight="1" x14ac:dyDescent="0.25">
      <c r="B69" s="309">
        <v>34</v>
      </c>
      <c r="C69" s="344" t="s">
        <v>395</v>
      </c>
      <c r="D69" s="318" t="s">
        <v>126</v>
      </c>
      <c r="E69" s="341"/>
      <c r="F69" s="318">
        <v>15</v>
      </c>
      <c r="G69" s="319">
        <v>168.06659999999999</v>
      </c>
      <c r="H69" s="320">
        <f t="shared" si="39"/>
        <v>2521</v>
      </c>
      <c r="I69" s="321">
        <v>0</v>
      </c>
      <c r="J69" s="321">
        <v>0</v>
      </c>
      <c r="K69" s="321">
        <v>0</v>
      </c>
      <c r="L69" s="321">
        <v>0</v>
      </c>
      <c r="M69" s="321">
        <v>0</v>
      </c>
      <c r="N69" s="321">
        <v>0</v>
      </c>
      <c r="O69" s="320">
        <f t="shared" si="40"/>
        <v>2521</v>
      </c>
      <c r="P69" s="322"/>
      <c r="Q69" s="320">
        <f t="shared" si="54"/>
        <v>0</v>
      </c>
      <c r="R69" s="320">
        <f t="shared" si="41"/>
        <v>2521</v>
      </c>
      <c r="S69" s="320">
        <f t="shared" si="42"/>
        <v>318.01</v>
      </c>
      <c r="T69" s="320">
        <f t="shared" si="43"/>
        <v>2202.9899999999998</v>
      </c>
      <c r="U69" s="323">
        <f t="shared" si="44"/>
        <v>6.4000000000000001E-2</v>
      </c>
      <c r="V69" s="320">
        <f t="shared" si="45"/>
        <v>140.99135999999999</v>
      </c>
      <c r="W69" s="320">
        <f t="shared" si="46"/>
        <v>6.15</v>
      </c>
      <c r="X69" s="320">
        <f t="shared" si="47"/>
        <v>147.14135999999999</v>
      </c>
      <c r="Y69" s="320">
        <f t="shared" si="48"/>
        <v>160.35</v>
      </c>
      <c r="Z69" s="320">
        <f t="shared" si="49"/>
        <v>-13.21</v>
      </c>
      <c r="AA69" s="324"/>
      <c r="AB69" s="320">
        <f t="shared" si="50"/>
        <v>13.21</v>
      </c>
      <c r="AC69" s="320">
        <f t="shared" si="51"/>
        <v>0</v>
      </c>
      <c r="AD69" s="320">
        <v>0</v>
      </c>
      <c r="AE69" s="321">
        <v>0</v>
      </c>
      <c r="AF69" s="321">
        <v>0</v>
      </c>
      <c r="AG69" s="325">
        <v>0</v>
      </c>
      <c r="AH69" s="320">
        <f t="shared" si="52"/>
        <v>0</v>
      </c>
      <c r="AI69" s="311">
        <f t="shared" si="53"/>
        <v>2534.21</v>
      </c>
      <c r="AJ69" s="315"/>
      <c r="AK69" s="225"/>
      <c r="AL69" s="225"/>
    </row>
    <row r="70" spans="2:38" ht="22.5" customHeight="1" x14ac:dyDescent="0.25">
      <c r="B70" s="309">
        <v>35</v>
      </c>
      <c r="C70" s="344" t="s">
        <v>475</v>
      </c>
      <c r="D70" s="318" t="s">
        <v>127</v>
      </c>
      <c r="E70" s="341"/>
      <c r="F70" s="318">
        <v>15</v>
      </c>
      <c r="G70" s="319">
        <v>266.66660000000002</v>
      </c>
      <c r="H70" s="320">
        <f t="shared" si="39"/>
        <v>4000</v>
      </c>
      <c r="I70" s="321">
        <v>0</v>
      </c>
      <c r="J70" s="321">
        <v>0</v>
      </c>
      <c r="K70" s="321">
        <v>0</v>
      </c>
      <c r="L70" s="321">
        <v>0</v>
      </c>
      <c r="M70" s="321">
        <v>0</v>
      </c>
      <c r="N70" s="321">
        <v>0</v>
      </c>
      <c r="O70" s="320">
        <f t="shared" si="40"/>
        <v>4000</v>
      </c>
      <c r="P70" s="322"/>
      <c r="Q70" s="320">
        <f t="shared" si="54"/>
        <v>0</v>
      </c>
      <c r="R70" s="320">
        <f t="shared" si="41"/>
        <v>4000</v>
      </c>
      <c r="S70" s="320">
        <f t="shared" si="42"/>
        <v>2699.41</v>
      </c>
      <c r="T70" s="320">
        <f t="shared" si="43"/>
        <v>1300.5900000000001</v>
      </c>
      <c r="U70" s="323">
        <f t="shared" si="44"/>
        <v>0.10879999999999999</v>
      </c>
      <c r="V70" s="320">
        <f t="shared" si="45"/>
        <v>141.50419200000002</v>
      </c>
      <c r="W70" s="320">
        <f t="shared" si="46"/>
        <v>158.55000000000001</v>
      </c>
      <c r="X70" s="320">
        <f t="shared" si="47"/>
        <v>300.05419200000006</v>
      </c>
      <c r="Y70" s="320">
        <f t="shared" si="48"/>
        <v>0</v>
      </c>
      <c r="Z70" s="320">
        <f t="shared" si="49"/>
        <v>300.05</v>
      </c>
      <c r="AA70" s="324"/>
      <c r="AB70" s="320">
        <f t="shared" si="50"/>
        <v>0</v>
      </c>
      <c r="AC70" s="320">
        <f t="shared" si="51"/>
        <v>300.05</v>
      </c>
      <c r="AD70" s="320">
        <v>0</v>
      </c>
      <c r="AE70" s="321">
        <v>0</v>
      </c>
      <c r="AF70" s="321">
        <v>0</v>
      </c>
      <c r="AG70" s="325">
        <v>0</v>
      </c>
      <c r="AH70" s="320">
        <f t="shared" si="52"/>
        <v>300.05</v>
      </c>
      <c r="AI70" s="311">
        <f t="shared" si="53"/>
        <v>3699.95</v>
      </c>
      <c r="AJ70" s="315"/>
      <c r="AK70" s="225"/>
      <c r="AL70" s="225"/>
    </row>
    <row r="71" spans="2:38" ht="19.5" customHeight="1" x14ac:dyDescent="0.25">
      <c r="B71" s="309"/>
      <c r="C71" s="344"/>
      <c r="D71" s="328" t="s">
        <v>111</v>
      </c>
      <c r="E71" s="538"/>
      <c r="F71" s="539"/>
      <c r="G71" s="326"/>
      <c r="H71" s="327">
        <f>SUM(H65:H70)</f>
        <v>22068</v>
      </c>
      <c r="I71" s="327">
        <f t="shared" ref="I71:N71" si="55">SUM(I66:I70)</f>
        <v>0</v>
      </c>
      <c r="J71" s="327">
        <f t="shared" si="55"/>
        <v>0</v>
      </c>
      <c r="K71" s="327">
        <f t="shared" si="55"/>
        <v>0</v>
      </c>
      <c r="L71" s="327">
        <f t="shared" si="55"/>
        <v>0</v>
      </c>
      <c r="M71" s="327">
        <f t="shared" si="55"/>
        <v>0</v>
      </c>
      <c r="N71" s="327">
        <f t="shared" si="55"/>
        <v>0</v>
      </c>
      <c r="O71" s="327">
        <f>SUM(O65:O70)</f>
        <v>22068</v>
      </c>
      <c r="P71" s="327">
        <f t="shared" ref="P71:Z71" si="56">SUM(P66:P70)</f>
        <v>0</v>
      </c>
      <c r="Q71" s="327">
        <f t="shared" si="56"/>
        <v>0</v>
      </c>
      <c r="R71" s="327">
        <f t="shared" si="56"/>
        <v>15342</v>
      </c>
      <c r="S71" s="327">
        <f t="shared" si="56"/>
        <v>6352.85</v>
      </c>
      <c r="T71" s="327">
        <f t="shared" si="56"/>
        <v>8989.15</v>
      </c>
      <c r="U71" s="327">
        <f t="shared" si="56"/>
        <v>0.40960000000000002</v>
      </c>
      <c r="V71" s="327">
        <f t="shared" si="56"/>
        <v>681.93766399999993</v>
      </c>
      <c r="W71" s="327">
        <f t="shared" si="56"/>
        <v>335.55000000000007</v>
      </c>
      <c r="X71" s="327">
        <f t="shared" si="56"/>
        <v>1017.487664</v>
      </c>
      <c r="Y71" s="327">
        <f t="shared" si="56"/>
        <v>481.04999999999995</v>
      </c>
      <c r="Z71" s="327">
        <f t="shared" si="56"/>
        <v>536.43000000000006</v>
      </c>
      <c r="AA71" s="327"/>
      <c r="AB71" s="327">
        <f>SUM(AB65:AB70)</f>
        <v>39.630000000000003</v>
      </c>
      <c r="AC71" s="327">
        <f>SUM(AC65:AC70)</f>
        <v>1301.69</v>
      </c>
      <c r="AD71" s="327">
        <f>SUM(AD66:AD70)</f>
        <v>0</v>
      </c>
      <c r="AE71" s="327">
        <f>SUM(AE66:AE70)</f>
        <v>0</v>
      </c>
      <c r="AF71" s="327">
        <f>SUM(AF66:AF70)</f>
        <v>0</v>
      </c>
      <c r="AG71" s="327">
        <f>SUM(AG66:AG70)</f>
        <v>0</v>
      </c>
      <c r="AH71" s="327">
        <f>SUM(AH65:AH70)</f>
        <v>1301.69</v>
      </c>
      <c r="AI71" s="312">
        <f>SUM(AI65:AI70)</f>
        <v>20805.939999999999</v>
      </c>
      <c r="AJ71" s="314"/>
      <c r="AK71" s="225"/>
      <c r="AL71" s="228">
        <f>O71+AB71-AH71</f>
        <v>20805.940000000002</v>
      </c>
    </row>
    <row r="72" spans="2:38" s="103" customFormat="1" ht="23.25" customHeight="1" x14ac:dyDescent="0.25">
      <c r="B72" s="544" t="s">
        <v>173</v>
      </c>
      <c r="C72" s="544"/>
      <c r="D72" s="544"/>
      <c r="E72" s="544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4"/>
      <c r="AE72" s="544"/>
      <c r="AF72" s="544"/>
      <c r="AG72" s="544"/>
      <c r="AH72" s="544"/>
      <c r="AI72" s="544"/>
      <c r="AJ72" s="544"/>
      <c r="AK72" s="225"/>
      <c r="AL72" s="225"/>
    </row>
    <row r="73" spans="2:38" s="103" customFormat="1" ht="23.25" customHeight="1" x14ac:dyDescent="0.25">
      <c r="B73" s="309">
        <v>36</v>
      </c>
      <c r="C73" s="344" t="s">
        <v>350</v>
      </c>
      <c r="D73" s="318" t="s">
        <v>113</v>
      </c>
      <c r="E73" s="318"/>
      <c r="F73" s="318">
        <v>15</v>
      </c>
      <c r="G73" s="319">
        <v>303</v>
      </c>
      <c r="H73" s="320">
        <f t="shared" ref="H73" si="57">ROUND(F73*G73,2)</f>
        <v>4545</v>
      </c>
      <c r="I73" s="321">
        <v>0</v>
      </c>
      <c r="J73" s="321">
        <v>0</v>
      </c>
      <c r="K73" s="321">
        <v>0</v>
      </c>
      <c r="L73" s="321">
        <v>0</v>
      </c>
      <c r="M73" s="321">
        <v>0</v>
      </c>
      <c r="N73" s="321">
        <v>0</v>
      </c>
      <c r="O73" s="320">
        <f>SUM(H73:N73)</f>
        <v>4545</v>
      </c>
      <c r="P73" s="322"/>
      <c r="Q73" s="320">
        <f>IF(G73=47.16,0,IF(G73&gt;47.16,L73*0.5,0))</f>
        <v>0</v>
      </c>
      <c r="R73" s="320">
        <f>H73+I73+J73+M73+Q73+K73</f>
        <v>4545</v>
      </c>
      <c r="S73" s="320">
        <f>VLOOKUP(R73,TARIFA1,1)</f>
        <v>2699.41</v>
      </c>
      <c r="T73" s="320">
        <f>R73-S73</f>
        <v>1845.5900000000001</v>
      </c>
      <c r="U73" s="323">
        <f>VLOOKUP(R73,TARIFA1,3)</f>
        <v>0.10879999999999999</v>
      </c>
      <c r="V73" s="320">
        <f>T73*U73</f>
        <v>200.80019200000001</v>
      </c>
      <c r="W73" s="320">
        <f>VLOOKUP(R73,TARIFA1,2)</f>
        <v>158.55000000000001</v>
      </c>
      <c r="X73" s="320">
        <f>V73+W73</f>
        <v>359.35019199999999</v>
      </c>
      <c r="Y73" s="320">
        <f>VLOOKUP(R73,Credito1,2)</f>
        <v>0</v>
      </c>
      <c r="Z73" s="320">
        <f>ROUND(X73-Y73,2)</f>
        <v>359.35</v>
      </c>
      <c r="AA73" s="324"/>
      <c r="AB73" s="320">
        <f>-IF(Z73&gt;0,0,Z73)</f>
        <v>0</v>
      </c>
      <c r="AC73" s="320">
        <f>IF(Z73&lt;0,0,Z73)</f>
        <v>359.35</v>
      </c>
      <c r="AD73" s="320">
        <v>0</v>
      </c>
      <c r="AE73" s="321">
        <v>0</v>
      </c>
      <c r="AF73" s="321">
        <v>0</v>
      </c>
      <c r="AG73" s="325">
        <v>0</v>
      </c>
      <c r="AH73" s="320">
        <f>SUM(AC73:AG73)</f>
        <v>359.35</v>
      </c>
      <c r="AI73" s="311">
        <f>O73+AB73-AH73</f>
        <v>4185.6499999999996</v>
      </c>
      <c r="AJ73" s="315"/>
      <c r="AK73" s="225"/>
      <c r="AL73" s="225"/>
    </row>
    <row r="74" spans="2:38" s="103" customFormat="1" ht="19.5" customHeight="1" x14ac:dyDescent="0.25">
      <c r="B74" s="309"/>
      <c r="C74" s="344"/>
      <c r="D74" s="328" t="s">
        <v>111</v>
      </c>
      <c r="E74" s="538"/>
      <c r="F74" s="539"/>
      <c r="G74" s="326"/>
      <c r="H74" s="327">
        <f t="shared" ref="H74:AI74" si="58">+H73</f>
        <v>4545</v>
      </c>
      <c r="I74" s="327">
        <f t="shared" si="58"/>
        <v>0</v>
      </c>
      <c r="J74" s="327">
        <f t="shared" si="58"/>
        <v>0</v>
      </c>
      <c r="K74" s="327">
        <f t="shared" si="58"/>
        <v>0</v>
      </c>
      <c r="L74" s="327">
        <f t="shared" si="58"/>
        <v>0</v>
      </c>
      <c r="M74" s="327">
        <f t="shared" si="58"/>
        <v>0</v>
      </c>
      <c r="N74" s="327">
        <f t="shared" si="58"/>
        <v>0</v>
      </c>
      <c r="O74" s="327">
        <f t="shared" si="58"/>
        <v>4545</v>
      </c>
      <c r="P74" s="327">
        <f t="shared" si="58"/>
        <v>0</v>
      </c>
      <c r="Q74" s="327">
        <f t="shared" si="58"/>
        <v>0</v>
      </c>
      <c r="R74" s="327">
        <f t="shared" si="58"/>
        <v>4545</v>
      </c>
      <c r="S74" s="327">
        <f t="shared" si="58"/>
        <v>2699.41</v>
      </c>
      <c r="T74" s="327">
        <f t="shared" si="58"/>
        <v>1845.5900000000001</v>
      </c>
      <c r="U74" s="327">
        <f t="shared" si="58"/>
        <v>0.10879999999999999</v>
      </c>
      <c r="V74" s="327">
        <f t="shared" si="58"/>
        <v>200.80019200000001</v>
      </c>
      <c r="W74" s="327">
        <f t="shared" si="58"/>
        <v>158.55000000000001</v>
      </c>
      <c r="X74" s="327">
        <f t="shared" si="58"/>
        <v>359.35019199999999</v>
      </c>
      <c r="Y74" s="327">
        <f t="shared" si="58"/>
        <v>0</v>
      </c>
      <c r="Z74" s="327">
        <f t="shared" si="58"/>
        <v>359.35</v>
      </c>
      <c r="AA74" s="327"/>
      <c r="AB74" s="327">
        <f t="shared" si="58"/>
        <v>0</v>
      </c>
      <c r="AC74" s="327">
        <f t="shared" si="58"/>
        <v>359.35</v>
      </c>
      <c r="AD74" s="327">
        <f t="shared" si="58"/>
        <v>0</v>
      </c>
      <c r="AE74" s="327">
        <f t="shared" si="58"/>
        <v>0</v>
      </c>
      <c r="AF74" s="327">
        <f t="shared" si="58"/>
        <v>0</v>
      </c>
      <c r="AG74" s="327">
        <f t="shared" si="58"/>
        <v>0</v>
      </c>
      <c r="AH74" s="327">
        <f t="shared" si="58"/>
        <v>359.35</v>
      </c>
      <c r="AI74" s="312">
        <f t="shared" si="58"/>
        <v>4185.6499999999996</v>
      </c>
      <c r="AJ74" s="314"/>
      <c r="AK74" s="225"/>
      <c r="AL74" s="228">
        <f>O74+AB74-AH74</f>
        <v>4185.6499999999996</v>
      </c>
    </row>
    <row r="75" spans="2:38" ht="27" customHeight="1" x14ac:dyDescent="0.25">
      <c r="B75" s="544" t="s">
        <v>128</v>
      </c>
      <c r="C75" s="544"/>
      <c r="D75" s="544"/>
      <c r="E75" s="544"/>
      <c r="F75" s="544"/>
      <c r="G75" s="544"/>
      <c r="H75" s="544"/>
      <c r="I75" s="544"/>
      <c r="J75" s="544"/>
      <c r="K75" s="544"/>
      <c r="L75" s="544"/>
      <c r="M75" s="544"/>
      <c r="N75" s="544"/>
      <c r="O75" s="544"/>
      <c r="P75" s="544"/>
      <c r="Q75" s="544"/>
      <c r="R75" s="544"/>
      <c r="S75" s="544"/>
      <c r="T75" s="544"/>
      <c r="U75" s="544"/>
      <c r="V75" s="544"/>
      <c r="W75" s="544"/>
      <c r="X75" s="544"/>
      <c r="Y75" s="544"/>
      <c r="Z75" s="544"/>
      <c r="AA75" s="544"/>
      <c r="AB75" s="544"/>
      <c r="AC75" s="544"/>
      <c r="AD75" s="544"/>
      <c r="AE75" s="544"/>
      <c r="AF75" s="544"/>
      <c r="AG75" s="544"/>
      <c r="AH75" s="544"/>
      <c r="AI75" s="544"/>
      <c r="AJ75" s="544"/>
      <c r="AK75" s="225"/>
      <c r="AL75" s="225"/>
    </row>
    <row r="76" spans="2:38" ht="23.25" customHeight="1" x14ac:dyDescent="0.25">
      <c r="B76" s="309">
        <v>37</v>
      </c>
      <c r="C76" s="344" t="s">
        <v>382</v>
      </c>
      <c r="D76" s="318" t="s">
        <v>129</v>
      </c>
      <c r="E76" s="341"/>
      <c r="F76" s="318">
        <v>15</v>
      </c>
      <c r="G76" s="319">
        <v>220.8</v>
      </c>
      <c r="H76" s="320">
        <f t="shared" ref="H76:H77" si="59">ROUND(F76*G76,2)</f>
        <v>3312</v>
      </c>
      <c r="I76" s="321">
        <v>0</v>
      </c>
      <c r="J76" s="321">
        <v>0</v>
      </c>
      <c r="K76" s="321">
        <v>0</v>
      </c>
      <c r="L76" s="321">
        <v>0</v>
      </c>
      <c r="M76" s="321">
        <v>0</v>
      </c>
      <c r="N76" s="321">
        <v>0</v>
      </c>
      <c r="O76" s="320">
        <f>SUM(H76:N76)</f>
        <v>3312</v>
      </c>
      <c r="P76" s="322"/>
      <c r="Q76" s="320">
        <f>IF(G76=47.16,0,IF(G76&gt;47.16,L76*0.5,0))</f>
        <v>0</v>
      </c>
      <c r="R76" s="320">
        <f>H76+I76+J76+M76+Q76+K76</f>
        <v>3312</v>
      </c>
      <c r="S76" s="320">
        <f>VLOOKUP(R76,TARIFA1,1)</f>
        <v>2699.41</v>
      </c>
      <c r="T76" s="320">
        <f>R76-S76</f>
        <v>612.59000000000015</v>
      </c>
      <c r="U76" s="323">
        <f>VLOOKUP(R76,TARIFA1,3)</f>
        <v>0.10879999999999999</v>
      </c>
      <c r="V76" s="320">
        <f>T76*U76</f>
        <v>66.649792000000005</v>
      </c>
      <c r="W76" s="320">
        <f>VLOOKUP(R76,TARIFA1,2)</f>
        <v>158.55000000000001</v>
      </c>
      <c r="X76" s="320">
        <f>V76+W76</f>
        <v>225.199792</v>
      </c>
      <c r="Y76" s="320">
        <f>VLOOKUP(R76,Credito1,2)</f>
        <v>125.1</v>
      </c>
      <c r="Z76" s="320">
        <f>ROUND(X76-Y76,2)</f>
        <v>100.1</v>
      </c>
      <c r="AA76" s="324"/>
      <c r="AB76" s="320">
        <f>-IF(Z76&gt;0,0,Z76)</f>
        <v>0</v>
      </c>
      <c r="AC76" s="320">
        <f>IF(Z76&lt;0,0,Z76)</f>
        <v>100.1</v>
      </c>
      <c r="AD76" s="320">
        <v>0</v>
      </c>
      <c r="AE76" s="321">
        <v>0</v>
      </c>
      <c r="AF76" s="321">
        <v>0</v>
      </c>
      <c r="AG76" s="325">
        <v>0</v>
      </c>
      <c r="AH76" s="320">
        <f>SUM(AC76:AG76)</f>
        <v>100.1</v>
      </c>
      <c r="AI76" s="311">
        <f>O76+AB76-AH76</f>
        <v>3211.9</v>
      </c>
      <c r="AJ76" s="315"/>
      <c r="AK76" s="225"/>
      <c r="AL76" s="225"/>
    </row>
    <row r="77" spans="2:38" ht="23.25" customHeight="1" x14ac:dyDescent="0.25">
      <c r="B77" s="309">
        <v>38</v>
      </c>
      <c r="C77" s="344" t="s">
        <v>332</v>
      </c>
      <c r="D77" s="318" t="s">
        <v>231</v>
      </c>
      <c r="E77" s="341"/>
      <c r="F77" s="318">
        <v>15</v>
      </c>
      <c r="G77" s="319">
        <v>138.33330000000001</v>
      </c>
      <c r="H77" s="320">
        <f t="shared" si="59"/>
        <v>2075</v>
      </c>
      <c r="I77" s="321">
        <v>0</v>
      </c>
      <c r="J77" s="321">
        <v>0</v>
      </c>
      <c r="K77" s="321">
        <v>0</v>
      </c>
      <c r="L77" s="321">
        <v>0</v>
      </c>
      <c r="M77" s="321">
        <v>0</v>
      </c>
      <c r="N77" s="321">
        <v>0</v>
      </c>
      <c r="O77" s="320">
        <f>SUM(H77:N77)</f>
        <v>2075</v>
      </c>
      <c r="P77" s="322"/>
      <c r="Q77" s="320">
        <f>IF(G77=47.16,0,IF(G77&gt;47.16,L77*0.5,0))</f>
        <v>0</v>
      </c>
      <c r="R77" s="320">
        <f>H77+I77+J77+M77+Q77+K77</f>
        <v>2075</v>
      </c>
      <c r="S77" s="320">
        <f>VLOOKUP(R77,TARIFA1,1)</f>
        <v>318.01</v>
      </c>
      <c r="T77" s="320">
        <f>R77-S77</f>
        <v>1756.99</v>
      </c>
      <c r="U77" s="323">
        <f>VLOOKUP(R77,TARIFA1,3)</f>
        <v>6.4000000000000001E-2</v>
      </c>
      <c r="V77" s="320">
        <f>T77*U77</f>
        <v>112.44736</v>
      </c>
      <c r="W77" s="320">
        <f>VLOOKUP(R77,TARIFA1,2)</f>
        <v>6.15</v>
      </c>
      <c r="X77" s="320">
        <f>V77+W77</f>
        <v>118.59736000000001</v>
      </c>
      <c r="Y77" s="320">
        <f>VLOOKUP(R77,Credito1,2)</f>
        <v>188.7</v>
      </c>
      <c r="Z77" s="320">
        <f>ROUND(X77-Y77,2)</f>
        <v>-70.099999999999994</v>
      </c>
      <c r="AA77" s="324"/>
      <c r="AB77" s="320">
        <f>-IF(Z77&gt;0,0,Z77)</f>
        <v>70.099999999999994</v>
      </c>
      <c r="AC77" s="320">
        <f>IF(Z77&lt;0,0,Z77)</f>
        <v>0</v>
      </c>
      <c r="AD77" s="320">
        <v>0</v>
      </c>
      <c r="AE77" s="321">
        <v>0</v>
      </c>
      <c r="AF77" s="321">
        <v>0</v>
      </c>
      <c r="AG77" s="325">
        <v>0</v>
      </c>
      <c r="AH77" s="320">
        <f>SUM(AC77:AG77)</f>
        <v>0</v>
      </c>
      <c r="AI77" s="311">
        <f>O77+AB77-AH77</f>
        <v>2145.1</v>
      </c>
      <c r="AJ77" s="315"/>
      <c r="AK77" s="225"/>
      <c r="AL77" s="225"/>
    </row>
    <row r="78" spans="2:38" ht="20.25" customHeight="1" x14ac:dyDescent="0.25">
      <c r="B78" s="309"/>
      <c r="C78" s="344"/>
      <c r="D78" s="328" t="s">
        <v>111</v>
      </c>
      <c r="E78" s="538"/>
      <c r="F78" s="539"/>
      <c r="G78" s="326"/>
      <c r="H78" s="327">
        <f t="shared" ref="H78:AG78" si="60">SUM(H76:H77)</f>
        <v>5387</v>
      </c>
      <c r="I78" s="327">
        <f t="shared" si="60"/>
        <v>0</v>
      </c>
      <c r="J78" s="327">
        <f t="shared" si="60"/>
        <v>0</v>
      </c>
      <c r="K78" s="327">
        <f t="shared" si="60"/>
        <v>0</v>
      </c>
      <c r="L78" s="327">
        <f t="shared" si="60"/>
        <v>0</v>
      </c>
      <c r="M78" s="327">
        <f t="shared" si="60"/>
        <v>0</v>
      </c>
      <c r="N78" s="327">
        <f t="shared" si="60"/>
        <v>0</v>
      </c>
      <c r="O78" s="327">
        <f t="shared" si="60"/>
        <v>5387</v>
      </c>
      <c r="P78" s="327">
        <f t="shared" si="60"/>
        <v>0</v>
      </c>
      <c r="Q78" s="327">
        <f t="shared" si="60"/>
        <v>0</v>
      </c>
      <c r="R78" s="327">
        <f t="shared" si="60"/>
        <v>5387</v>
      </c>
      <c r="S78" s="327">
        <f t="shared" si="60"/>
        <v>3017.42</v>
      </c>
      <c r="T78" s="327">
        <f t="shared" si="60"/>
        <v>2369.58</v>
      </c>
      <c r="U78" s="327">
        <f t="shared" si="60"/>
        <v>0.17280000000000001</v>
      </c>
      <c r="V78" s="327">
        <f t="shared" si="60"/>
        <v>179.09715199999999</v>
      </c>
      <c r="W78" s="327">
        <f t="shared" si="60"/>
        <v>164.70000000000002</v>
      </c>
      <c r="X78" s="327">
        <f t="shared" si="60"/>
        <v>343.79715199999998</v>
      </c>
      <c r="Y78" s="327">
        <f t="shared" si="60"/>
        <v>313.79999999999995</v>
      </c>
      <c r="Z78" s="327">
        <f t="shared" si="60"/>
        <v>30</v>
      </c>
      <c r="AA78" s="327"/>
      <c r="AB78" s="327">
        <f t="shared" si="60"/>
        <v>70.099999999999994</v>
      </c>
      <c r="AC78" s="327">
        <f t="shared" si="60"/>
        <v>100.1</v>
      </c>
      <c r="AD78" s="327">
        <f t="shared" si="60"/>
        <v>0</v>
      </c>
      <c r="AE78" s="327">
        <f t="shared" si="60"/>
        <v>0</v>
      </c>
      <c r="AF78" s="327">
        <f t="shared" si="60"/>
        <v>0</v>
      </c>
      <c r="AG78" s="327">
        <f t="shared" si="60"/>
        <v>0</v>
      </c>
      <c r="AH78" s="327">
        <f>SUM(AH76:AH77)</f>
        <v>100.1</v>
      </c>
      <c r="AI78" s="312">
        <f>SUM(AI76:AI77)</f>
        <v>5357</v>
      </c>
      <c r="AJ78" s="314"/>
      <c r="AK78" s="225"/>
      <c r="AL78" s="228">
        <f>O78+AB78-AH78</f>
        <v>5357</v>
      </c>
    </row>
    <row r="79" spans="2:38" ht="21.75" customHeight="1" x14ac:dyDescent="0.25">
      <c r="B79" s="540" t="s">
        <v>130</v>
      </c>
      <c r="C79" s="541"/>
      <c r="D79" s="541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  <c r="Q79" s="541"/>
      <c r="R79" s="541"/>
      <c r="S79" s="541"/>
      <c r="T79" s="541"/>
      <c r="U79" s="541"/>
      <c r="V79" s="541"/>
      <c r="W79" s="541"/>
      <c r="X79" s="541"/>
      <c r="Y79" s="541"/>
      <c r="Z79" s="541"/>
      <c r="AA79" s="541"/>
      <c r="AB79" s="541"/>
      <c r="AC79" s="541"/>
      <c r="AD79" s="541"/>
      <c r="AE79" s="541"/>
      <c r="AF79" s="541"/>
      <c r="AG79" s="541"/>
      <c r="AH79" s="541"/>
      <c r="AI79" s="541"/>
      <c r="AJ79" s="542"/>
      <c r="AK79" s="225"/>
      <c r="AL79" s="225"/>
    </row>
    <row r="80" spans="2:38" ht="24.75" customHeight="1" x14ac:dyDescent="0.25">
      <c r="B80" s="309">
        <v>39</v>
      </c>
      <c r="C80" s="344" t="s">
        <v>496</v>
      </c>
      <c r="D80" s="318" t="s">
        <v>129</v>
      </c>
      <c r="E80" s="341"/>
      <c r="F80" s="318">
        <v>15</v>
      </c>
      <c r="G80" s="319">
        <v>313.33300000000003</v>
      </c>
      <c r="H80" s="320">
        <f t="shared" ref="H80:H82" si="61">ROUND(F80*G80,2)</f>
        <v>4700</v>
      </c>
      <c r="I80" s="321">
        <v>0</v>
      </c>
      <c r="J80" s="321">
        <v>0</v>
      </c>
      <c r="K80" s="321">
        <v>0</v>
      </c>
      <c r="L80" s="321">
        <v>0</v>
      </c>
      <c r="M80" s="321">
        <v>0</v>
      </c>
      <c r="N80" s="321">
        <v>0</v>
      </c>
      <c r="O80" s="320">
        <f>SUM(H80:N80)</f>
        <v>4700</v>
      </c>
      <c r="P80" s="322"/>
      <c r="Q80" s="320">
        <f>IF(G80=47.16,0,IF(G80&gt;47.16,L80*0.5,0))</f>
        <v>0</v>
      </c>
      <c r="R80" s="320">
        <f>H80+I80+J80+M80+Q80+K80</f>
        <v>4700</v>
      </c>
      <c r="S80" s="320">
        <f>VLOOKUP(R80,TARIFA1,1)</f>
        <v>2699.41</v>
      </c>
      <c r="T80" s="320">
        <f>R80-S80</f>
        <v>2000.5900000000001</v>
      </c>
      <c r="U80" s="323">
        <f>VLOOKUP(R80,TARIFA1,3)</f>
        <v>0.10879999999999999</v>
      </c>
      <c r="V80" s="320">
        <f>T80*U80</f>
        <v>217.66419200000001</v>
      </c>
      <c r="W80" s="320">
        <f>VLOOKUP(R80,TARIFA1,2)</f>
        <v>158.55000000000001</v>
      </c>
      <c r="X80" s="320">
        <f>V80+W80</f>
        <v>376.21419200000003</v>
      </c>
      <c r="Y80" s="320">
        <f>VLOOKUP(R80,Credito1,2)</f>
        <v>0</v>
      </c>
      <c r="Z80" s="320">
        <f>ROUND(X80-Y80,2)</f>
        <v>376.21</v>
      </c>
      <c r="AA80" s="324"/>
      <c r="AB80" s="320">
        <f>-IF(Z80&gt;0,0,Z80)</f>
        <v>0</v>
      </c>
      <c r="AC80" s="320">
        <f>IF(Z80&lt;0,0,Z80)</f>
        <v>376.21</v>
      </c>
      <c r="AD80" s="320">
        <v>0</v>
      </c>
      <c r="AE80" s="321">
        <v>0</v>
      </c>
      <c r="AF80" s="321">
        <v>0</v>
      </c>
      <c r="AG80" s="325">
        <v>0</v>
      </c>
      <c r="AH80" s="320">
        <f>SUM(AC80:AG80)</f>
        <v>376.21</v>
      </c>
      <c r="AI80" s="311">
        <f>O80+AB80-AH80</f>
        <v>4323.79</v>
      </c>
      <c r="AJ80" s="315"/>
      <c r="AK80" s="225"/>
      <c r="AL80" s="225"/>
    </row>
    <row r="81" spans="2:38" ht="24.75" customHeight="1" x14ac:dyDescent="0.25">
      <c r="B81" s="309">
        <v>40</v>
      </c>
      <c r="C81" s="344" t="s">
        <v>339</v>
      </c>
      <c r="D81" s="318" t="s">
        <v>219</v>
      </c>
      <c r="E81" s="341"/>
      <c r="F81" s="318">
        <v>15</v>
      </c>
      <c r="G81" s="319">
        <v>166.66659999999999</v>
      </c>
      <c r="H81" s="320">
        <f t="shared" si="61"/>
        <v>2500</v>
      </c>
      <c r="I81" s="321">
        <v>0</v>
      </c>
      <c r="J81" s="321">
        <v>0</v>
      </c>
      <c r="K81" s="321">
        <v>0</v>
      </c>
      <c r="L81" s="321">
        <v>0</v>
      </c>
      <c r="M81" s="321">
        <v>0</v>
      </c>
      <c r="N81" s="321">
        <v>0</v>
      </c>
      <c r="O81" s="320">
        <f t="shared" ref="O81:O82" si="62">SUM(H81:N81)</f>
        <v>2500</v>
      </c>
      <c r="P81" s="322"/>
      <c r="Q81" s="320">
        <f>IF(G81=47.16,0,IF(G81&gt;47.16,L81*0.5,0))</f>
        <v>0</v>
      </c>
      <c r="R81" s="320">
        <f>H81+I81+J81+M81+Q81+K81</f>
        <v>2500</v>
      </c>
      <c r="S81" s="320">
        <f>VLOOKUP(R81,TARIFA1,1)</f>
        <v>318.01</v>
      </c>
      <c r="T81" s="320">
        <f>R81-S81</f>
        <v>2181.9899999999998</v>
      </c>
      <c r="U81" s="323">
        <f>VLOOKUP(R81,TARIFA1,3)</f>
        <v>6.4000000000000001E-2</v>
      </c>
      <c r="V81" s="320">
        <f>T81*U81</f>
        <v>139.64735999999999</v>
      </c>
      <c r="W81" s="320">
        <f>VLOOKUP(R81,TARIFA1,2)</f>
        <v>6.15</v>
      </c>
      <c r="X81" s="320">
        <f>V81+W81</f>
        <v>145.79736</v>
      </c>
      <c r="Y81" s="320">
        <f>VLOOKUP(R81,Credito1,2)</f>
        <v>160.35</v>
      </c>
      <c r="Z81" s="320">
        <f>ROUND(X81-Y81,2)</f>
        <v>-14.55</v>
      </c>
      <c r="AA81" s="324"/>
      <c r="AB81" s="320">
        <f>-IF(Z81&gt;0,0,Z81)</f>
        <v>14.55</v>
      </c>
      <c r="AC81" s="320">
        <f>IF(Z81&lt;0,0,Z81)</f>
        <v>0</v>
      </c>
      <c r="AD81" s="320">
        <v>0</v>
      </c>
      <c r="AE81" s="321">
        <v>0</v>
      </c>
      <c r="AF81" s="321">
        <v>0</v>
      </c>
      <c r="AG81" s="325">
        <v>0</v>
      </c>
      <c r="AH81" s="320">
        <f>SUM(AC81:AG81)</f>
        <v>0</v>
      </c>
      <c r="AI81" s="311">
        <f>O81+AB81-AH81</f>
        <v>2514.5500000000002</v>
      </c>
      <c r="AJ81" s="315"/>
      <c r="AK81" s="225"/>
      <c r="AL81" s="225"/>
    </row>
    <row r="82" spans="2:38" ht="24.75" customHeight="1" x14ac:dyDescent="0.25">
      <c r="B82" s="309">
        <v>41</v>
      </c>
      <c r="C82" s="344" t="s">
        <v>394</v>
      </c>
      <c r="D82" s="318" t="s">
        <v>231</v>
      </c>
      <c r="E82" s="318"/>
      <c r="F82" s="318">
        <v>15</v>
      </c>
      <c r="G82" s="319">
        <v>138.333</v>
      </c>
      <c r="H82" s="320">
        <f t="shared" si="61"/>
        <v>2075</v>
      </c>
      <c r="I82" s="321">
        <v>0</v>
      </c>
      <c r="J82" s="321">
        <v>0</v>
      </c>
      <c r="K82" s="321">
        <v>0</v>
      </c>
      <c r="L82" s="321">
        <v>0</v>
      </c>
      <c r="M82" s="321">
        <v>0</v>
      </c>
      <c r="N82" s="321">
        <v>0</v>
      </c>
      <c r="O82" s="320">
        <f t="shared" si="62"/>
        <v>2075</v>
      </c>
      <c r="P82" s="322"/>
      <c r="Q82" s="320">
        <v>0</v>
      </c>
      <c r="R82" s="320">
        <f>H82+I82+J82+M82+Q82+K82</f>
        <v>2075</v>
      </c>
      <c r="S82" s="320">
        <f>VLOOKUP(R82,TARIFA1,1)</f>
        <v>318.01</v>
      </c>
      <c r="T82" s="320">
        <f>R82-S82</f>
        <v>1756.99</v>
      </c>
      <c r="U82" s="323">
        <f>VLOOKUP(R82,TARIFA1,3)</f>
        <v>6.4000000000000001E-2</v>
      </c>
      <c r="V82" s="320">
        <f>T82*U82</f>
        <v>112.44736</v>
      </c>
      <c r="W82" s="320">
        <f>VLOOKUP(R82,TARIFA1,2)</f>
        <v>6.15</v>
      </c>
      <c r="X82" s="320">
        <f>V82+W82</f>
        <v>118.59736000000001</v>
      </c>
      <c r="Y82" s="320">
        <f>VLOOKUP(R82,Credito1,2)</f>
        <v>188.7</v>
      </c>
      <c r="Z82" s="320">
        <f>ROUND(X82-Y82,2)</f>
        <v>-70.099999999999994</v>
      </c>
      <c r="AA82" s="324"/>
      <c r="AB82" s="320">
        <f>-IF(Z82&gt;0,0,Z82)</f>
        <v>70.099999999999994</v>
      </c>
      <c r="AC82" s="320">
        <f>IF(Z82&lt;0,0,Z82)</f>
        <v>0</v>
      </c>
      <c r="AD82" s="320">
        <v>0</v>
      </c>
      <c r="AE82" s="321">
        <v>0</v>
      </c>
      <c r="AF82" s="321">
        <v>0</v>
      </c>
      <c r="AG82" s="325">
        <v>0</v>
      </c>
      <c r="AH82" s="320">
        <f>SUM(AC82:AG82)</f>
        <v>0</v>
      </c>
      <c r="AI82" s="311">
        <f>O82+AB82-AH82</f>
        <v>2145.1</v>
      </c>
      <c r="AJ82" s="315"/>
      <c r="AK82" s="225"/>
      <c r="AL82" s="225"/>
    </row>
    <row r="83" spans="2:38" ht="24.75" customHeight="1" x14ac:dyDescent="0.25">
      <c r="B83" s="309"/>
      <c r="C83" s="344"/>
      <c r="D83" s="328" t="s">
        <v>111</v>
      </c>
      <c r="E83" s="538"/>
      <c r="F83" s="539"/>
      <c r="G83" s="326"/>
      <c r="H83" s="327">
        <f t="shared" ref="H83:O83" si="63">SUM(H80:H82)</f>
        <v>9275</v>
      </c>
      <c r="I83" s="327">
        <f t="shared" si="63"/>
        <v>0</v>
      </c>
      <c r="J83" s="327">
        <f t="shared" si="63"/>
        <v>0</v>
      </c>
      <c r="K83" s="327">
        <f t="shared" si="63"/>
        <v>0</v>
      </c>
      <c r="L83" s="327">
        <f t="shared" si="63"/>
        <v>0</v>
      </c>
      <c r="M83" s="327">
        <f t="shared" si="63"/>
        <v>0</v>
      </c>
      <c r="N83" s="327">
        <f t="shared" si="63"/>
        <v>0</v>
      </c>
      <c r="O83" s="327">
        <f t="shared" si="63"/>
        <v>9275</v>
      </c>
      <c r="P83" s="327">
        <f t="shared" ref="P83:Z83" si="64">SUM(P80:P81)</f>
        <v>0</v>
      </c>
      <c r="Q83" s="327">
        <f t="shared" si="64"/>
        <v>0</v>
      </c>
      <c r="R83" s="327">
        <f t="shared" si="64"/>
        <v>7200</v>
      </c>
      <c r="S83" s="327">
        <f t="shared" si="64"/>
        <v>3017.42</v>
      </c>
      <c r="T83" s="327">
        <f t="shared" si="64"/>
        <v>4182.58</v>
      </c>
      <c r="U83" s="327">
        <f t="shared" si="64"/>
        <v>0.17280000000000001</v>
      </c>
      <c r="V83" s="327">
        <f t="shared" si="64"/>
        <v>357.31155200000001</v>
      </c>
      <c r="W83" s="327">
        <f t="shared" si="64"/>
        <v>164.70000000000002</v>
      </c>
      <c r="X83" s="327">
        <f t="shared" si="64"/>
        <v>522.01155200000005</v>
      </c>
      <c r="Y83" s="327">
        <f t="shared" si="64"/>
        <v>160.35</v>
      </c>
      <c r="Z83" s="327">
        <f t="shared" si="64"/>
        <v>361.65999999999997</v>
      </c>
      <c r="AA83" s="327"/>
      <c r="AB83" s="327">
        <f t="shared" ref="AB83:AI83" si="65">SUM(AB80:AB82)</f>
        <v>84.649999999999991</v>
      </c>
      <c r="AC83" s="327">
        <f t="shared" si="65"/>
        <v>376.21</v>
      </c>
      <c r="AD83" s="327">
        <f t="shared" si="65"/>
        <v>0</v>
      </c>
      <c r="AE83" s="327">
        <f t="shared" si="65"/>
        <v>0</v>
      </c>
      <c r="AF83" s="327">
        <f t="shared" si="65"/>
        <v>0</v>
      </c>
      <c r="AG83" s="327">
        <f t="shared" si="65"/>
        <v>0</v>
      </c>
      <c r="AH83" s="327">
        <f t="shared" si="65"/>
        <v>376.21</v>
      </c>
      <c r="AI83" s="312">
        <f t="shared" si="65"/>
        <v>8983.44</v>
      </c>
      <c r="AJ83" s="314"/>
      <c r="AK83" s="225"/>
      <c r="AL83" s="228">
        <f>O83+AB83-AH80</f>
        <v>8983.44</v>
      </c>
    </row>
    <row r="84" spans="2:38" ht="24.75" customHeight="1" x14ac:dyDescent="0.25">
      <c r="B84" s="540" t="s">
        <v>131</v>
      </c>
      <c r="C84" s="541"/>
      <c r="D84" s="541"/>
      <c r="E84" s="541"/>
      <c r="F84" s="541"/>
      <c r="G84" s="541"/>
      <c r="H84" s="541"/>
      <c r="I84" s="541"/>
      <c r="J84" s="541"/>
      <c r="K84" s="541"/>
      <c r="L84" s="541"/>
      <c r="M84" s="541"/>
      <c r="N84" s="541"/>
      <c r="O84" s="541"/>
      <c r="P84" s="541"/>
      <c r="Q84" s="541"/>
      <c r="R84" s="541"/>
      <c r="S84" s="541"/>
      <c r="T84" s="541"/>
      <c r="U84" s="541"/>
      <c r="V84" s="541"/>
      <c r="W84" s="541"/>
      <c r="X84" s="541"/>
      <c r="Y84" s="541"/>
      <c r="Z84" s="541"/>
      <c r="AA84" s="541"/>
      <c r="AB84" s="541"/>
      <c r="AC84" s="541"/>
      <c r="AD84" s="541"/>
      <c r="AE84" s="541"/>
      <c r="AF84" s="541"/>
      <c r="AG84" s="541"/>
      <c r="AH84" s="541"/>
      <c r="AI84" s="541"/>
      <c r="AJ84" s="542"/>
      <c r="AK84" s="225"/>
      <c r="AL84" s="225"/>
    </row>
    <row r="85" spans="2:38" s="103" customFormat="1" ht="21.75" customHeight="1" x14ac:dyDescent="0.25">
      <c r="B85" s="309">
        <v>42</v>
      </c>
      <c r="C85" s="344" t="s">
        <v>535</v>
      </c>
      <c r="D85" s="318" t="s">
        <v>129</v>
      </c>
      <c r="E85" s="341"/>
      <c r="F85" s="318">
        <v>15</v>
      </c>
      <c r="G85" s="319">
        <v>313.33300000000003</v>
      </c>
      <c r="H85" s="320">
        <f t="shared" ref="H85:H86" si="66">ROUND(F85*G85,2)</f>
        <v>4700</v>
      </c>
      <c r="I85" s="321">
        <v>0</v>
      </c>
      <c r="J85" s="321">
        <v>0</v>
      </c>
      <c r="K85" s="321">
        <v>0</v>
      </c>
      <c r="L85" s="321">
        <v>0</v>
      </c>
      <c r="M85" s="321">
        <v>0</v>
      </c>
      <c r="N85" s="321">
        <v>0</v>
      </c>
      <c r="O85" s="320">
        <f>SUM(H85:N85)</f>
        <v>4700</v>
      </c>
      <c r="P85" s="322"/>
      <c r="Q85" s="320">
        <f>IF(G85=47.16,0,IF(G85&gt;47.16,L85*0.5,0))</f>
        <v>0</v>
      </c>
      <c r="R85" s="320">
        <f>H85+I85+J85+M85+Q85+K85</f>
        <v>4700</v>
      </c>
      <c r="S85" s="320">
        <f>VLOOKUP(R85,TARIFA1,1)</f>
        <v>2699.41</v>
      </c>
      <c r="T85" s="320">
        <f>R85-S85</f>
        <v>2000.5900000000001</v>
      </c>
      <c r="U85" s="323">
        <f>VLOOKUP(R85,TARIFA1,3)</f>
        <v>0.10879999999999999</v>
      </c>
      <c r="V85" s="320">
        <f>T85*U85</f>
        <v>217.66419200000001</v>
      </c>
      <c r="W85" s="320">
        <f>VLOOKUP(R85,TARIFA1,2)</f>
        <v>158.55000000000001</v>
      </c>
      <c r="X85" s="320">
        <f>V85+W85</f>
        <v>376.21419200000003</v>
      </c>
      <c r="Y85" s="320">
        <f>VLOOKUP(R85,Credito1,2)</f>
        <v>0</v>
      </c>
      <c r="Z85" s="320">
        <f>ROUND(X85-Y85,2)</f>
        <v>376.21</v>
      </c>
      <c r="AA85" s="324"/>
      <c r="AB85" s="320">
        <f>-IF(Z85&gt;0,0,Z85)</f>
        <v>0</v>
      </c>
      <c r="AC85" s="320">
        <f>IF(Z85&lt;0,0,Z85)</f>
        <v>376.21</v>
      </c>
      <c r="AD85" s="320">
        <v>0</v>
      </c>
      <c r="AE85" s="321">
        <v>0</v>
      </c>
      <c r="AF85" s="321">
        <v>0</v>
      </c>
      <c r="AG85" s="325">
        <v>0</v>
      </c>
      <c r="AH85" s="320">
        <f>SUM(AC85:AG85)</f>
        <v>376.21</v>
      </c>
      <c r="AI85" s="311">
        <f>O85+AB85-AH85</f>
        <v>4323.79</v>
      </c>
      <c r="AJ85" s="315"/>
      <c r="AK85" s="225"/>
      <c r="AL85" s="225"/>
    </row>
    <row r="86" spans="2:38" ht="30.75" customHeight="1" x14ac:dyDescent="0.25">
      <c r="B86" s="309">
        <v>43</v>
      </c>
      <c r="C86" s="344" t="s">
        <v>441</v>
      </c>
      <c r="D86" s="318" t="s">
        <v>118</v>
      </c>
      <c r="E86" s="341"/>
      <c r="F86" s="318">
        <v>15</v>
      </c>
      <c r="G86" s="319">
        <v>119.6666</v>
      </c>
      <c r="H86" s="320">
        <f t="shared" si="66"/>
        <v>1795</v>
      </c>
      <c r="I86" s="321">
        <v>0</v>
      </c>
      <c r="J86" s="321">
        <v>0</v>
      </c>
      <c r="K86" s="321">
        <v>0</v>
      </c>
      <c r="L86" s="321">
        <v>0</v>
      </c>
      <c r="M86" s="321">
        <v>0</v>
      </c>
      <c r="N86" s="321">
        <v>0</v>
      </c>
      <c r="O86" s="320">
        <f>SUM(H86:N86)</f>
        <v>1795</v>
      </c>
      <c r="P86" s="322"/>
      <c r="Q86" s="320">
        <f>IF(G86=47.16,0,IF(G86&gt;47.16,L86*0.5,0))</f>
        <v>0</v>
      </c>
      <c r="R86" s="320">
        <f>H86+I86+J86+M86+Q86+K86</f>
        <v>1795</v>
      </c>
      <c r="S86" s="320">
        <f>VLOOKUP(R86,TARIFA1,1)</f>
        <v>318.01</v>
      </c>
      <c r="T86" s="320">
        <f>R86-S86</f>
        <v>1476.99</v>
      </c>
      <c r="U86" s="323">
        <f>VLOOKUP(R86,TARIFA1,3)</f>
        <v>6.4000000000000001E-2</v>
      </c>
      <c r="V86" s="320">
        <f>T86*U86</f>
        <v>94.527360000000002</v>
      </c>
      <c r="W86" s="320">
        <f>VLOOKUP(R86,TARIFA1,2)</f>
        <v>6.15</v>
      </c>
      <c r="X86" s="320">
        <f>V86+W86</f>
        <v>100.67736000000001</v>
      </c>
      <c r="Y86" s="320">
        <f>VLOOKUP(R86,Credito1,2)</f>
        <v>188.7</v>
      </c>
      <c r="Z86" s="320">
        <f>ROUND(X86-Y86,2)</f>
        <v>-88.02</v>
      </c>
      <c r="AA86" s="324"/>
      <c r="AB86" s="320">
        <f>-IF(Z86&gt;0,0,Z86)</f>
        <v>88.02</v>
      </c>
      <c r="AC86" s="320">
        <f>IF(Z86&lt;0,0,Z86)</f>
        <v>0</v>
      </c>
      <c r="AD86" s="320">
        <v>0</v>
      </c>
      <c r="AE86" s="321">
        <v>0</v>
      </c>
      <c r="AF86" s="321">
        <v>0</v>
      </c>
      <c r="AG86" s="325">
        <v>0</v>
      </c>
      <c r="AH86" s="320">
        <f>SUM(AC86:AG86)</f>
        <v>0</v>
      </c>
      <c r="AI86" s="311">
        <f>O86+AB86-AH86</f>
        <v>1883.02</v>
      </c>
      <c r="AJ86" s="315"/>
      <c r="AK86" s="225"/>
      <c r="AL86" s="225"/>
    </row>
    <row r="87" spans="2:38" ht="22.5" customHeight="1" x14ac:dyDescent="0.25">
      <c r="B87" s="309"/>
      <c r="C87" s="344"/>
      <c r="D87" s="328" t="s">
        <v>111</v>
      </c>
      <c r="E87" s="538"/>
      <c r="F87" s="539"/>
      <c r="G87" s="326"/>
      <c r="H87" s="327">
        <f t="shared" ref="H87:AH87" si="67">SUM(H85:H86)</f>
        <v>6495</v>
      </c>
      <c r="I87" s="327">
        <f t="shared" si="67"/>
        <v>0</v>
      </c>
      <c r="J87" s="327">
        <f t="shared" si="67"/>
        <v>0</v>
      </c>
      <c r="K87" s="327">
        <f t="shared" si="67"/>
        <v>0</v>
      </c>
      <c r="L87" s="327">
        <f t="shared" si="67"/>
        <v>0</v>
      </c>
      <c r="M87" s="327">
        <f t="shared" si="67"/>
        <v>0</v>
      </c>
      <c r="N87" s="327">
        <f t="shared" si="67"/>
        <v>0</v>
      </c>
      <c r="O87" s="327">
        <f t="shared" si="67"/>
        <v>6495</v>
      </c>
      <c r="P87" s="327">
        <f t="shared" si="67"/>
        <v>0</v>
      </c>
      <c r="Q87" s="327">
        <f t="shared" si="67"/>
        <v>0</v>
      </c>
      <c r="R87" s="327">
        <f t="shared" si="67"/>
        <v>6495</v>
      </c>
      <c r="S87" s="327">
        <f t="shared" si="67"/>
        <v>3017.42</v>
      </c>
      <c r="T87" s="327">
        <f t="shared" si="67"/>
        <v>3477.58</v>
      </c>
      <c r="U87" s="327">
        <f t="shared" si="67"/>
        <v>0.17280000000000001</v>
      </c>
      <c r="V87" s="327">
        <f t="shared" si="67"/>
        <v>312.191552</v>
      </c>
      <c r="W87" s="327">
        <f t="shared" si="67"/>
        <v>164.70000000000002</v>
      </c>
      <c r="X87" s="327">
        <f t="shared" si="67"/>
        <v>476.89155200000005</v>
      </c>
      <c r="Y87" s="327">
        <f t="shared" si="67"/>
        <v>188.7</v>
      </c>
      <c r="Z87" s="327">
        <f t="shared" si="67"/>
        <v>288.19</v>
      </c>
      <c r="AA87" s="327"/>
      <c r="AB87" s="327">
        <f t="shared" si="67"/>
        <v>88.02</v>
      </c>
      <c r="AC87" s="327">
        <f t="shared" si="67"/>
        <v>376.21</v>
      </c>
      <c r="AD87" s="327">
        <f t="shared" si="67"/>
        <v>0</v>
      </c>
      <c r="AE87" s="327">
        <f t="shared" si="67"/>
        <v>0</v>
      </c>
      <c r="AF87" s="327">
        <f t="shared" si="67"/>
        <v>0</v>
      </c>
      <c r="AG87" s="327">
        <f t="shared" si="67"/>
        <v>0</v>
      </c>
      <c r="AH87" s="327">
        <f t="shared" si="67"/>
        <v>376.21</v>
      </c>
      <c r="AI87" s="312">
        <f>SUM(AI85:AI86)</f>
        <v>6206.8099999999995</v>
      </c>
      <c r="AJ87" s="314"/>
      <c r="AK87" s="225"/>
      <c r="AL87" s="228">
        <f>O87+AB87-AH87</f>
        <v>6206.81</v>
      </c>
    </row>
    <row r="88" spans="2:38" s="145" customFormat="1" ht="22.5" customHeight="1" x14ac:dyDescent="0.25">
      <c r="B88" s="544" t="s">
        <v>133</v>
      </c>
      <c r="C88" s="544"/>
      <c r="D88" s="544"/>
      <c r="E88" s="544"/>
      <c r="F88" s="544"/>
      <c r="G88" s="544"/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4"/>
      <c r="Y88" s="544"/>
      <c r="Z88" s="544"/>
      <c r="AA88" s="544"/>
      <c r="AB88" s="544"/>
      <c r="AC88" s="544"/>
      <c r="AD88" s="544"/>
      <c r="AE88" s="544"/>
      <c r="AF88" s="544"/>
      <c r="AG88" s="544"/>
      <c r="AH88" s="544"/>
      <c r="AI88" s="544"/>
      <c r="AJ88" s="544"/>
      <c r="AK88" s="230"/>
      <c r="AL88" s="230"/>
    </row>
    <row r="89" spans="2:38" ht="22.5" customHeight="1" x14ac:dyDescent="0.25">
      <c r="B89" s="309">
        <v>44</v>
      </c>
      <c r="C89" s="344" t="s">
        <v>485</v>
      </c>
      <c r="D89" s="318" t="s">
        <v>129</v>
      </c>
      <c r="E89" s="341"/>
      <c r="F89" s="318">
        <v>15</v>
      </c>
      <c r="G89" s="319">
        <v>220.8</v>
      </c>
      <c r="H89" s="320">
        <f t="shared" ref="H89" si="68">ROUND(F89*G89,2)</f>
        <v>3312</v>
      </c>
      <c r="I89" s="321">
        <v>0</v>
      </c>
      <c r="J89" s="321">
        <v>0</v>
      </c>
      <c r="K89" s="321">
        <v>0</v>
      </c>
      <c r="L89" s="321">
        <v>0</v>
      </c>
      <c r="M89" s="321">
        <v>0</v>
      </c>
      <c r="N89" s="321">
        <v>0</v>
      </c>
      <c r="O89" s="320">
        <f>SUM(H89:N89)</f>
        <v>3312</v>
      </c>
      <c r="P89" s="322"/>
      <c r="Q89" s="320">
        <f>IF(G89=47.16,0,IF(G89&gt;47.16,L89*0.5,0))</f>
        <v>0</v>
      </c>
      <c r="R89" s="320">
        <f>H89+I89+J89+M89+Q89+K89</f>
        <v>3312</v>
      </c>
      <c r="S89" s="320">
        <f>VLOOKUP(R89,TARIFA1,1)</f>
        <v>2699.41</v>
      </c>
      <c r="T89" s="320">
        <f>R89-S89</f>
        <v>612.59000000000015</v>
      </c>
      <c r="U89" s="323">
        <f>VLOOKUP(R89,TARIFA1,3)</f>
        <v>0.10879999999999999</v>
      </c>
      <c r="V89" s="320">
        <f>T89*U89</f>
        <v>66.649792000000005</v>
      </c>
      <c r="W89" s="320">
        <f>VLOOKUP(R89,TARIFA1,2)</f>
        <v>158.55000000000001</v>
      </c>
      <c r="X89" s="320">
        <f>V89+W89</f>
        <v>225.199792</v>
      </c>
      <c r="Y89" s="320">
        <f>VLOOKUP(R89,Credito1,2)</f>
        <v>125.1</v>
      </c>
      <c r="Z89" s="320">
        <f>ROUND(X89-Y89,2)</f>
        <v>100.1</v>
      </c>
      <c r="AA89" s="324"/>
      <c r="AB89" s="320">
        <f>-IF(Z89&gt;0,0,Z89)</f>
        <v>0</v>
      </c>
      <c r="AC89" s="320">
        <f>IF(Z89&lt;0,0,Z89)</f>
        <v>100.1</v>
      </c>
      <c r="AD89" s="320">
        <v>0</v>
      </c>
      <c r="AE89" s="321">
        <v>0</v>
      </c>
      <c r="AF89" s="321">
        <v>0</v>
      </c>
      <c r="AG89" s="325">
        <v>0</v>
      </c>
      <c r="AH89" s="320">
        <f>SUM(AC89:AG89)</f>
        <v>100.1</v>
      </c>
      <c r="AI89" s="311">
        <f>O89+AB89-AJ89-AH89</f>
        <v>3211.9</v>
      </c>
      <c r="AJ89" s="315"/>
      <c r="AK89" s="225"/>
      <c r="AL89" s="225"/>
    </row>
    <row r="90" spans="2:38" ht="22.5" customHeight="1" x14ac:dyDescent="0.25">
      <c r="B90" s="309"/>
      <c r="C90" s="345"/>
      <c r="D90" s="328" t="s">
        <v>111</v>
      </c>
      <c r="E90" s="538"/>
      <c r="F90" s="539"/>
      <c r="G90" s="326"/>
      <c r="H90" s="327">
        <f t="shared" ref="H90:AI90" si="69">SUM(H89:H89)</f>
        <v>3312</v>
      </c>
      <c r="I90" s="327">
        <f t="shared" si="69"/>
        <v>0</v>
      </c>
      <c r="J90" s="327">
        <f t="shared" si="69"/>
        <v>0</v>
      </c>
      <c r="K90" s="327">
        <f t="shared" si="69"/>
        <v>0</v>
      </c>
      <c r="L90" s="327">
        <f t="shared" si="69"/>
        <v>0</v>
      </c>
      <c r="M90" s="327">
        <f t="shared" si="69"/>
        <v>0</v>
      </c>
      <c r="N90" s="327">
        <f t="shared" si="69"/>
        <v>0</v>
      </c>
      <c r="O90" s="327">
        <f t="shared" si="69"/>
        <v>3312</v>
      </c>
      <c r="P90" s="327">
        <f t="shared" si="69"/>
        <v>0</v>
      </c>
      <c r="Q90" s="327">
        <f t="shared" si="69"/>
        <v>0</v>
      </c>
      <c r="R90" s="327">
        <f t="shared" si="69"/>
        <v>3312</v>
      </c>
      <c r="S90" s="327">
        <f t="shared" si="69"/>
        <v>2699.41</v>
      </c>
      <c r="T90" s="327">
        <f t="shared" si="69"/>
        <v>612.59000000000015</v>
      </c>
      <c r="U90" s="327">
        <f t="shared" si="69"/>
        <v>0.10879999999999999</v>
      </c>
      <c r="V90" s="327">
        <f t="shared" si="69"/>
        <v>66.649792000000005</v>
      </c>
      <c r="W90" s="327">
        <f t="shared" si="69"/>
        <v>158.55000000000001</v>
      </c>
      <c r="X90" s="327">
        <f t="shared" si="69"/>
        <v>225.199792</v>
      </c>
      <c r="Y90" s="327">
        <f t="shared" si="69"/>
        <v>125.1</v>
      </c>
      <c r="Z90" s="327">
        <f t="shared" si="69"/>
        <v>100.1</v>
      </c>
      <c r="AA90" s="327"/>
      <c r="AB90" s="327">
        <f t="shared" si="69"/>
        <v>0</v>
      </c>
      <c r="AC90" s="327">
        <f t="shared" si="69"/>
        <v>100.1</v>
      </c>
      <c r="AD90" s="327">
        <f t="shared" si="69"/>
        <v>0</v>
      </c>
      <c r="AE90" s="327">
        <f t="shared" si="69"/>
        <v>0</v>
      </c>
      <c r="AF90" s="327">
        <f t="shared" si="69"/>
        <v>0</v>
      </c>
      <c r="AG90" s="327">
        <f t="shared" si="69"/>
        <v>0</v>
      </c>
      <c r="AH90" s="327">
        <f t="shared" si="69"/>
        <v>100.1</v>
      </c>
      <c r="AI90" s="312">
        <f t="shared" si="69"/>
        <v>3211.9</v>
      </c>
      <c r="AJ90" s="314"/>
      <c r="AK90" s="225"/>
      <c r="AL90" s="228">
        <f>O90+AB90-AH90</f>
        <v>3211.9</v>
      </c>
    </row>
    <row r="91" spans="2:38" ht="22.5" customHeight="1" x14ac:dyDescent="0.25">
      <c r="B91" s="544" t="s">
        <v>135</v>
      </c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4"/>
      <c r="AK91" s="225"/>
      <c r="AL91" s="225"/>
    </row>
    <row r="92" spans="2:38" ht="22.5" customHeight="1" x14ac:dyDescent="0.25">
      <c r="B92" s="309">
        <v>45</v>
      </c>
      <c r="C92" s="344" t="s">
        <v>345</v>
      </c>
      <c r="D92" s="318" t="s">
        <v>136</v>
      </c>
      <c r="E92" s="341"/>
      <c r="F92" s="318">
        <v>15</v>
      </c>
      <c r="G92" s="319">
        <v>205.8</v>
      </c>
      <c r="H92" s="320">
        <f t="shared" ref="H92:H93" si="70">ROUND(F92*G92,2)</f>
        <v>3087</v>
      </c>
      <c r="I92" s="321">
        <v>0</v>
      </c>
      <c r="J92" s="321">
        <v>0</v>
      </c>
      <c r="K92" s="321">
        <v>0</v>
      </c>
      <c r="L92" s="321">
        <v>0</v>
      </c>
      <c r="M92" s="321">
        <v>0</v>
      </c>
      <c r="N92" s="321">
        <v>0</v>
      </c>
      <c r="O92" s="320">
        <f>SUM(H92:N92)</f>
        <v>3087</v>
      </c>
      <c r="P92" s="322"/>
      <c r="Q92" s="320">
        <f>IF(G92=47.16,0,IF(G92&gt;47.16,L92*0.5,0))</f>
        <v>0</v>
      </c>
      <c r="R92" s="320">
        <f>H92+I92+J92+M92+Q92+K92</f>
        <v>3087</v>
      </c>
      <c r="S92" s="320">
        <f>VLOOKUP(R92,TARIFA1,1)</f>
        <v>2699.41</v>
      </c>
      <c r="T92" s="320">
        <f>R92-S92</f>
        <v>387.59000000000015</v>
      </c>
      <c r="U92" s="323">
        <f>VLOOKUP(R92,TARIFA1,3)</f>
        <v>0.10879999999999999</v>
      </c>
      <c r="V92" s="320">
        <f>T92*U92</f>
        <v>42.169792000000015</v>
      </c>
      <c r="W92" s="320">
        <f>VLOOKUP(R92,TARIFA1,2)</f>
        <v>158.55000000000001</v>
      </c>
      <c r="X92" s="320">
        <f>V92+W92</f>
        <v>200.71979200000004</v>
      </c>
      <c r="Y92" s="320">
        <f>VLOOKUP(R92,Credito1,2)</f>
        <v>125.1</v>
      </c>
      <c r="Z92" s="320">
        <f>ROUND(X92-Y92,2)</f>
        <v>75.62</v>
      </c>
      <c r="AA92" s="324"/>
      <c r="AB92" s="320">
        <f>-IF(Z92&gt;0,0,Z92)</f>
        <v>0</v>
      </c>
      <c r="AC92" s="320">
        <f>IF(Z92&lt;0,0,Z92)</f>
        <v>75.62</v>
      </c>
      <c r="AD92" s="320">
        <v>0</v>
      </c>
      <c r="AE92" s="321">
        <v>0</v>
      </c>
      <c r="AF92" s="321">
        <v>0</v>
      </c>
      <c r="AG92" s="325">
        <v>0</v>
      </c>
      <c r="AH92" s="320">
        <f>SUM(AC92:AG92)</f>
        <v>75.62</v>
      </c>
      <c r="AI92" s="311">
        <f>O92+AB92-AH92</f>
        <v>3011.38</v>
      </c>
      <c r="AJ92" s="315"/>
      <c r="AK92" s="225"/>
      <c r="AL92" s="225"/>
    </row>
    <row r="93" spans="2:38" ht="21" customHeight="1" x14ac:dyDescent="0.25">
      <c r="B93" s="309">
        <v>46</v>
      </c>
      <c r="C93" s="344" t="s">
        <v>480</v>
      </c>
      <c r="D93" s="318" t="s">
        <v>152</v>
      </c>
      <c r="E93" s="341"/>
      <c r="F93" s="318">
        <v>15</v>
      </c>
      <c r="G93" s="319">
        <v>220.86660000000001</v>
      </c>
      <c r="H93" s="320">
        <f t="shared" si="70"/>
        <v>3313</v>
      </c>
      <c r="I93" s="321">
        <v>0</v>
      </c>
      <c r="J93" s="321">
        <v>0</v>
      </c>
      <c r="K93" s="321">
        <v>0</v>
      </c>
      <c r="L93" s="321">
        <v>0</v>
      </c>
      <c r="M93" s="321">
        <v>0</v>
      </c>
      <c r="N93" s="321">
        <v>0</v>
      </c>
      <c r="O93" s="320">
        <f>SUM(H93:N93)</f>
        <v>3313</v>
      </c>
      <c r="P93" s="322"/>
      <c r="Q93" s="320">
        <f>IF(G93=47.16,0,IF(G93&gt;47.16,L93*0.5,0))</f>
        <v>0</v>
      </c>
      <c r="R93" s="320">
        <f>H93+I93+J93+M93+Q93+K93</f>
        <v>3313</v>
      </c>
      <c r="S93" s="320">
        <f>VLOOKUP(R93,TARIFA1,1)</f>
        <v>2699.41</v>
      </c>
      <c r="T93" s="320">
        <f>R93-S93</f>
        <v>613.59000000000015</v>
      </c>
      <c r="U93" s="323">
        <f>VLOOKUP(R93,TARIFA1,3)</f>
        <v>0.10879999999999999</v>
      </c>
      <c r="V93" s="320">
        <f>T93*U93</f>
        <v>66.758592000000007</v>
      </c>
      <c r="W93" s="320">
        <f>VLOOKUP(R93,TARIFA1,2)</f>
        <v>158.55000000000001</v>
      </c>
      <c r="X93" s="320">
        <f>V93+W93</f>
        <v>225.30859200000003</v>
      </c>
      <c r="Y93" s="320">
        <f>VLOOKUP(R93,Credito1,2)</f>
        <v>125.1</v>
      </c>
      <c r="Z93" s="320">
        <f>ROUND(X93-Y93,2)</f>
        <v>100.21</v>
      </c>
      <c r="AA93" s="324"/>
      <c r="AB93" s="320">
        <f>-IF(Z93&gt;0,0,Z93)</f>
        <v>0</v>
      </c>
      <c r="AC93" s="320">
        <f>IF(Z93&lt;0,0,Z93)</f>
        <v>100.21</v>
      </c>
      <c r="AD93" s="320">
        <v>0</v>
      </c>
      <c r="AE93" s="321">
        <v>0</v>
      </c>
      <c r="AF93" s="321">
        <v>0</v>
      </c>
      <c r="AG93" s="325">
        <v>0</v>
      </c>
      <c r="AH93" s="320">
        <f>SUM(AC93:AG93)</f>
        <v>100.21</v>
      </c>
      <c r="AI93" s="311">
        <f>O93+AB93-AH93</f>
        <v>3212.79</v>
      </c>
      <c r="AJ93" s="315"/>
      <c r="AK93" s="225"/>
      <c r="AL93" s="225"/>
    </row>
    <row r="94" spans="2:38" ht="21.75" customHeight="1" x14ac:dyDescent="0.25">
      <c r="B94" s="309"/>
      <c r="C94" s="344"/>
      <c r="D94" s="328" t="s">
        <v>111</v>
      </c>
      <c r="E94" s="328"/>
      <c r="F94" s="328"/>
      <c r="G94" s="326"/>
      <c r="H94" s="327">
        <f t="shared" ref="H94:AI94" si="71">SUM(H92:H93)</f>
        <v>6400</v>
      </c>
      <c r="I94" s="327">
        <f t="shared" si="71"/>
        <v>0</v>
      </c>
      <c r="J94" s="327">
        <f t="shared" si="71"/>
        <v>0</v>
      </c>
      <c r="K94" s="327">
        <f t="shared" si="71"/>
        <v>0</v>
      </c>
      <c r="L94" s="327">
        <f t="shared" si="71"/>
        <v>0</v>
      </c>
      <c r="M94" s="327">
        <f t="shared" si="71"/>
        <v>0</v>
      </c>
      <c r="N94" s="327">
        <f t="shared" si="71"/>
        <v>0</v>
      </c>
      <c r="O94" s="327">
        <f t="shared" si="71"/>
        <v>6400</v>
      </c>
      <c r="P94" s="327"/>
      <c r="Q94" s="327">
        <f t="shared" si="71"/>
        <v>0</v>
      </c>
      <c r="R94" s="327">
        <f t="shared" si="71"/>
        <v>6400</v>
      </c>
      <c r="S94" s="327">
        <f t="shared" si="71"/>
        <v>5398.82</v>
      </c>
      <c r="T94" s="327">
        <f t="shared" si="71"/>
        <v>1001.1800000000003</v>
      </c>
      <c r="U94" s="327">
        <f t="shared" si="71"/>
        <v>0.21759999999999999</v>
      </c>
      <c r="V94" s="327">
        <f t="shared" si="71"/>
        <v>108.92838400000002</v>
      </c>
      <c r="W94" s="327">
        <f t="shared" si="71"/>
        <v>317.10000000000002</v>
      </c>
      <c r="X94" s="327">
        <f t="shared" si="71"/>
        <v>426.02838400000007</v>
      </c>
      <c r="Y94" s="327">
        <f t="shared" si="71"/>
        <v>250.2</v>
      </c>
      <c r="Z94" s="327">
        <f t="shared" si="71"/>
        <v>175.82999999999998</v>
      </c>
      <c r="AA94" s="327"/>
      <c r="AB94" s="327">
        <f t="shared" si="71"/>
        <v>0</v>
      </c>
      <c r="AC94" s="327">
        <f t="shared" si="71"/>
        <v>175.82999999999998</v>
      </c>
      <c r="AD94" s="327">
        <f t="shared" si="71"/>
        <v>0</v>
      </c>
      <c r="AE94" s="327">
        <f t="shared" si="71"/>
        <v>0</v>
      </c>
      <c r="AF94" s="327">
        <f t="shared" si="71"/>
        <v>0</v>
      </c>
      <c r="AG94" s="327">
        <f t="shared" si="71"/>
        <v>0</v>
      </c>
      <c r="AH94" s="327">
        <f t="shared" si="71"/>
        <v>175.82999999999998</v>
      </c>
      <c r="AI94" s="312">
        <f t="shared" si="71"/>
        <v>6224.17</v>
      </c>
      <c r="AJ94" s="314"/>
      <c r="AK94" s="225"/>
      <c r="AL94" s="228">
        <f>O94+AB94-AH94</f>
        <v>6224.17</v>
      </c>
    </row>
    <row r="95" spans="2:38" ht="21.75" customHeight="1" x14ac:dyDescent="0.25">
      <c r="B95" s="540" t="s">
        <v>137</v>
      </c>
      <c r="C95" s="541"/>
      <c r="D95" s="541"/>
      <c r="E95" s="541"/>
      <c r="F95" s="541"/>
      <c r="G95" s="541"/>
      <c r="H95" s="541"/>
      <c r="I95" s="541"/>
      <c r="J95" s="541"/>
      <c r="K95" s="541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1"/>
      <c r="Y95" s="541"/>
      <c r="Z95" s="541"/>
      <c r="AA95" s="541"/>
      <c r="AB95" s="541"/>
      <c r="AC95" s="541"/>
      <c r="AD95" s="541"/>
      <c r="AE95" s="541"/>
      <c r="AF95" s="541"/>
      <c r="AG95" s="541"/>
      <c r="AH95" s="541"/>
      <c r="AI95" s="541"/>
      <c r="AJ95" s="542"/>
      <c r="AK95" s="225"/>
      <c r="AL95" s="225"/>
    </row>
    <row r="96" spans="2:38" s="109" customFormat="1" ht="21.75" customHeight="1" x14ac:dyDescent="0.25">
      <c r="B96" s="310">
        <v>47</v>
      </c>
      <c r="C96" s="347" t="s">
        <v>274</v>
      </c>
      <c r="D96" s="329" t="s">
        <v>113</v>
      </c>
      <c r="E96" s="329"/>
      <c r="F96" s="329">
        <v>15</v>
      </c>
      <c r="G96" s="330">
        <v>575.53300000000002</v>
      </c>
      <c r="H96" s="320">
        <f t="shared" ref="H96:H98" si="72">ROUND(F96*G96,2)</f>
        <v>8633</v>
      </c>
      <c r="I96" s="320">
        <v>0</v>
      </c>
      <c r="J96" s="320">
        <v>0</v>
      </c>
      <c r="K96" s="320">
        <v>0</v>
      </c>
      <c r="L96" s="320">
        <v>0</v>
      </c>
      <c r="M96" s="320">
        <v>0</v>
      </c>
      <c r="N96" s="320">
        <v>0</v>
      </c>
      <c r="O96" s="320">
        <f>SUM(H96:N96)</f>
        <v>8633</v>
      </c>
      <c r="P96" s="320"/>
      <c r="Q96" s="320"/>
      <c r="R96" s="320">
        <f>H96+I96+J96+M96+Q96+K96</f>
        <v>8633</v>
      </c>
      <c r="S96" s="320">
        <f>VLOOKUP(R96,TARIFA1,1)</f>
        <v>6602.71</v>
      </c>
      <c r="T96" s="320">
        <f>R96-S96</f>
        <v>2030.29</v>
      </c>
      <c r="U96" s="323">
        <f>VLOOKUP(R96,TARIFA1,3)</f>
        <v>0.21360000000000001</v>
      </c>
      <c r="V96" s="320">
        <f>T96*U96</f>
        <v>433.66994400000004</v>
      </c>
      <c r="W96" s="320">
        <f>VLOOKUP(R96,TARIFA1,2)</f>
        <v>699.3</v>
      </c>
      <c r="X96" s="320">
        <f>V96+W96</f>
        <v>1132.9699439999999</v>
      </c>
      <c r="Y96" s="320">
        <f>VLOOKUP(R96,Credito1,2)</f>
        <v>0</v>
      </c>
      <c r="Z96" s="320">
        <f>ROUND(X96-Y96,2)</f>
        <v>1132.97</v>
      </c>
      <c r="AA96" s="320"/>
      <c r="AB96" s="320">
        <f>-IF(Z96&gt;0,0,Z96)</f>
        <v>0</v>
      </c>
      <c r="AC96" s="320">
        <f>IF(Z96&lt;0,0,Z96)</f>
        <v>1132.97</v>
      </c>
      <c r="AD96" s="320">
        <v>0</v>
      </c>
      <c r="AE96" s="320">
        <v>0</v>
      </c>
      <c r="AF96" s="320">
        <v>0</v>
      </c>
      <c r="AG96" s="320">
        <v>0</v>
      </c>
      <c r="AH96" s="320">
        <f>SUM(AC96:AG96)</f>
        <v>1132.97</v>
      </c>
      <c r="AI96" s="311">
        <f>O96+AB96-AH96</f>
        <v>7500.03</v>
      </c>
      <c r="AJ96" s="315"/>
      <c r="AK96" s="231"/>
      <c r="AL96" s="231"/>
    </row>
    <row r="97" spans="2:40" ht="24" customHeight="1" x14ac:dyDescent="0.25">
      <c r="B97" s="309">
        <v>48</v>
      </c>
      <c r="C97" s="344" t="s">
        <v>357</v>
      </c>
      <c r="D97" s="318" t="s">
        <v>120</v>
      </c>
      <c r="E97" s="341"/>
      <c r="F97" s="318">
        <v>15</v>
      </c>
      <c r="G97" s="319">
        <v>166.66659999999999</v>
      </c>
      <c r="H97" s="320">
        <f t="shared" si="72"/>
        <v>2500</v>
      </c>
      <c r="I97" s="321">
        <v>0</v>
      </c>
      <c r="J97" s="321">
        <v>0</v>
      </c>
      <c r="K97" s="321">
        <v>0</v>
      </c>
      <c r="L97" s="321">
        <v>0</v>
      </c>
      <c r="M97" s="321">
        <v>0</v>
      </c>
      <c r="N97" s="321">
        <v>0</v>
      </c>
      <c r="O97" s="320">
        <f>SUM(H97:N97)</f>
        <v>2500</v>
      </c>
      <c r="P97" s="322"/>
      <c r="Q97" s="320">
        <f>IF(G97=47.16,0,IF(G97&gt;47.16,L97*0.5,0))</f>
        <v>0</v>
      </c>
      <c r="R97" s="320">
        <f>H97+I97+J97+M97+Q97+K97</f>
        <v>2500</v>
      </c>
      <c r="S97" s="320">
        <f>VLOOKUP(R97,TARIFA1,1)</f>
        <v>318.01</v>
      </c>
      <c r="T97" s="320">
        <f>R97-S97</f>
        <v>2181.9899999999998</v>
      </c>
      <c r="U97" s="323">
        <f>VLOOKUP(R97,TARIFA1,3)</f>
        <v>6.4000000000000001E-2</v>
      </c>
      <c r="V97" s="320">
        <f>T97*U97</f>
        <v>139.64735999999999</v>
      </c>
      <c r="W97" s="320">
        <f>VLOOKUP(R97,TARIFA1,2)</f>
        <v>6.15</v>
      </c>
      <c r="X97" s="320">
        <f>V97+W97</f>
        <v>145.79736</v>
      </c>
      <c r="Y97" s="320">
        <f>VLOOKUP(R97,Credito1,2)</f>
        <v>160.35</v>
      </c>
      <c r="Z97" s="320">
        <f>ROUND(X97-Y97,2)</f>
        <v>-14.55</v>
      </c>
      <c r="AA97" s="324"/>
      <c r="AB97" s="320">
        <f>-IF(Z97&gt;0,0,Z97)</f>
        <v>14.55</v>
      </c>
      <c r="AC97" s="320">
        <f>IF(Z97&lt;0,0,Z97)</f>
        <v>0</v>
      </c>
      <c r="AD97" s="320">
        <v>0</v>
      </c>
      <c r="AE97" s="321">
        <v>0</v>
      </c>
      <c r="AF97" s="321">
        <v>0</v>
      </c>
      <c r="AG97" s="325">
        <v>0</v>
      </c>
      <c r="AH97" s="320">
        <f>SUM(AC97:AG97)</f>
        <v>0</v>
      </c>
      <c r="AI97" s="311">
        <f>O97+AB97-AH97</f>
        <v>2514.5500000000002</v>
      </c>
      <c r="AJ97" s="315"/>
      <c r="AK97" s="225"/>
      <c r="AL97" s="225"/>
    </row>
    <row r="98" spans="2:40" s="103" customFormat="1" ht="23.25" customHeight="1" x14ac:dyDescent="0.25">
      <c r="B98" s="309">
        <v>49</v>
      </c>
      <c r="C98" s="344" t="s">
        <v>493</v>
      </c>
      <c r="D98" s="318" t="s">
        <v>174</v>
      </c>
      <c r="E98" s="341"/>
      <c r="F98" s="318">
        <v>15</v>
      </c>
      <c r="G98" s="319">
        <v>291.33300000000003</v>
      </c>
      <c r="H98" s="320">
        <f t="shared" si="72"/>
        <v>4370</v>
      </c>
      <c r="I98" s="321">
        <v>0</v>
      </c>
      <c r="J98" s="321">
        <v>0</v>
      </c>
      <c r="K98" s="321">
        <v>0</v>
      </c>
      <c r="L98" s="321">
        <v>0</v>
      </c>
      <c r="M98" s="321">
        <v>0</v>
      </c>
      <c r="N98" s="321">
        <v>0</v>
      </c>
      <c r="O98" s="320">
        <f>SUM(H98:N98)</f>
        <v>4370</v>
      </c>
      <c r="P98" s="322"/>
      <c r="Q98" s="320">
        <f>IF(G98=47.16,0,IF(G98&gt;47.16,L98*0.5,0))</f>
        <v>0</v>
      </c>
      <c r="R98" s="320">
        <f>H98+I98+J98+M98+Q98+K98</f>
        <v>4370</v>
      </c>
      <c r="S98" s="320">
        <f>VLOOKUP(R98,TARIFA1,1)</f>
        <v>2699.41</v>
      </c>
      <c r="T98" s="320">
        <f>R98-S98</f>
        <v>1670.5900000000001</v>
      </c>
      <c r="U98" s="323">
        <f>VLOOKUP(R98,TARIFA1,3)</f>
        <v>0.10879999999999999</v>
      </c>
      <c r="V98" s="320">
        <f>T98*U98</f>
        <v>181.76019200000002</v>
      </c>
      <c r="W98" s="320">
        <f>VLOOKUP(R98,TARIFA1,2)</f>
        <v>158.55000000000001</v>
      </c>
      <c r="X98" s="320">
        <f>V98+W98</f>
        <v>340.31019200000003</v>
      </c>
      <c r="Y98" s="320">
        <f>VLOOKUP(R98,Credito1,2)</f>
        <v>0</v>
      </c>
      <c r="Z98" s="320">
        <f>ROUND(X98-Y98,2)</f>
        <v>340.31</v>
      </c>
      <c r="AA98" s="324"/>
      <c r="AB98" s="320">
        <f>-IF(Z98&gt;0,0,Z98)</f>
        <v>0</v>
      </c>
      <c r="AC98" s="320">
        <f>IF(Z98&lt;0,0,Z98)</f>
        <v>340.31</v>
      </c>
      <c r="AD98" s="320">
        <v>0</v>
      </c>
      <c r="AE98" s="321">
        <v>0</v>
      </c>
      <c r="AF98" s="321">
        <v>0</v>
      </c>
      <c r="AG98" s="325">
        <v>0</v>
      </c>
      <c r="AH98" s="320">
        <f>SUM(AC98:AG98)</f>
        <v>340.31</v>
      </c>
      <c r="AI98" s="311">
        <f>O98+AB98-AH98</f>
        <v>4029.69</v>
      </c>
      <c r="AJ98" s="315"/>
      <c r="AK98" s="225"/>
      <c r="AL98" s="225"/>
    </row>
    <row r="99" spans="2:40" ht="21" customHeight="1" x14ac:dyDescent="0.25">
      <c r="B99" s="309"/>
      <c r="C99" s="344"/>
      <c r="D99" s="328" t="s">
        <v>111</v>
      </c>
      <c r="E99" s="538"/>
      <c r="F99" s="539"/>
      <c r="G99" s="326"/>
      <c r="H99" s="327">
        <f>SUM(H96:H98)</f>
        <v>15503</v>
      </c>
      <c r="I99" s="327">
        <f t="shared" ref="I99:AG99" si="73">SUM(I97:I98)</f>
        <v>0</v>
      </c>
      <c r="J99" s="327">
        <f t="shared" si="73"/>
        <v>0</v>
      </c>
      <c r="K99" s="327">
        <f t="shared" si="73"/>
        <v>0</v>
      </c>
      <c r="L99" s="327">
        <f t="shared" si="73"/>
        <v>0</v>
      </c>
      <c r="M99" s="327">
        <f t="shared" si="73"/>
        <v>0</v>
      </c>
      <c r="N99" s="327">
        <f t="shared" si="73"/>
        <v>0</v>
      </c>
      <c r="O99" s="327">
        <f>SUM(O96:O98)</f>
        <v>15503</v>
      </c>
      <c r="P99" s="327"/>
      <c r="Q99" s="327">
        <f t="shared" si="73"/>
        <v>0</v>
      </c>
      <c r="R99" s="327">
        <f t="shared" si="73"/>
        <v>6870</v>
      </c>
      <c r="S99" s="327">
        <f t="shared" si="73"/>
        <v>3017.42</v>
      </c>
      <c r="T99" s="327">
        <f t="shared" si="73"/>
        <v>3852.58</v>
      </c>
      <c r="U99" s="327">
        <f t="shared" si="73"/>
        <v>0.17280000000000001</v>
      </c>
      <c r="V99" s="327">
        <f t="shared" si="73"/>
        <v>321.40755200000001</v>
      </c>
      <c r="W99" s="327">
        <f t="shared" si="73"/>
        <v>164.70000000000002</v>
      </c>
      <c r="X99" s="327">
        <f t="shared" si="73"/>
        <v>486.10755200000006</v>
      </c>
      <c r="Y99" s="327">
        <f t="shared" si="73"/>
        <v>160.35</v>
      </c>
      <c r="Z99" s="327">
        <f t="shared" si="73"/>
        <v>325.76</v>
      </c>
      <c r="AA99" s="327"/>
      <c r="AB99" s="327">
        <f>SUM(AB96:AB98)</f>
        <v>14.55</v>
      </c>
      <c r="AC99" s="327">
        <f>SUM(AC96:AC98)</f>
        <v>1473.28</v>
      </c>
      <c r="AD99" s="327">
        <f t="shared" si="73"/>
        <v>0</v>
      </c>
      <c r="AE99" s="327">
        <f t="shared" si="73"/>
        <v>0</v>
      </c>
      <c r="AF99" s="327">
        <f t="shared" si="73"/>
        <v>0</v>
      </c>
      <c r="AG99" s="327">
        <f t="shared" si="73"/>
        <v>0</v>
      </c>
      <c r="AH99" s="327">
        <f>SUM(AH96:AH98)</f>
        <v>1473.28</v>
      </c>
      <c r="AI99" s="312">
        <f>SUM(AI96:AI98)</f>
        <v>14044.27</v>
      </c>
      <c r="AJ99" s="314"/>
      <c r="AK99" s="225"/>
      <c r="AL99" s="228">
        <f>O99+AB99-AH99</f>
        <v>14044.269999999999</v>
      </c>
      <c r="AN99" s="100">
        <v>29151.26</v>
      </c>
    </row>
    <row r="100" spans="2:40" ht="22.5" customHeight="1" x14ac:dyDescent="0.25">
      <c r="B100" s="544" t="s">
        <v>165</v>
      </c>
      <c r="C100" s="544"/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4"/>
      <c r="X100" s="544"/>
      <c r="Y100" s="544"/>
      <c r="Z100" s="544"/>
      <c r="AA100" s="544"/>
      <c r="AB100" s="544"/>
      <c r="AC100" s="544"/>
      <c r="AD100" s="544"/>
      <c r="AE100" s="544"/>
      <c r="AF100" s="544"/>
      <c r="AG100" s="544"/>
      <c r="AH100" s="544"/>
      <c r="AI100" s="544"/>
      <c r="AJ100" s="544"/>
      <c r="AK100" s="225"/>
      <c r="AL100" s="225"/>
    </row>
    <row r="101" spans="2:40" ht="22.5" customHeight="1" x14ac:dyDescent="0.25">
      <c r="B101" s="309">
        <v>50</v>
      </c>
      <c r="C101" s="344" t="s">
        <v>473</v>
      </c>
      <c r="D101" s="318" t="s">
        <v>113</v>
      </c>
      <c r="E101" s="341"/>
      <c r="F101" s="318">
        <v>15</v>
      </c>
      <c r="G101" s="319">
        <v>303</v>
      </c>
      <c r="H101" s="320">
        <f t="shared" ref="H101" si="74">ROUND(F101*G101,2)</f>
        <v>4545</v>
      </c>
      <c r="I101" s="321">
        <v>0</v>
      </c>
      <c r="J101" s="321">
        <v>0</v>
      </c>
      <c r="K101" s="321">
        <v>0</v>
      </c>
      <c r="L101" s="321">
        <v>0</v>
      </c>
      <c r="M101" s="321">
        <v>0</v>
      </c>
      <c r="N101" s="321">
        <v>0</v>
      </c>
      <c r="O101" s="320">
        <f>SUM(H101:N101)</f>
        <v>4545</v>
      </c>
      <c r="P101" s="322"/>
      <c r="Q101" s="320">
        <f>IF(G101=47.16,0,IF(G101&gt;47.16,L101*0.5,0))</f>
        <v>0</v>
      </c>
      <c r="R101" s="320">
        <f>H101+I101+J101+M101+Q101+K101</f>
        <v>4545</v>
      </c>
      <c r="S101" s="320">
        <f>VLOOKUP(R101,TARIFA1,1)</f>
        <v>2699.41</v>
      </c>
      <c r="T101" s="320">
        <f>R101-S101</f>
        <v>1845.5900000000001</v>
      </c>
      <c r="U101" s="323">
        <f>VLOOKUP(R101,TARIFA1,3)</f>
        <v>0.10879999999999999</v>
      </c>
      <c r="V101" s="320">
        <f>T101*U101</f>
        <v>200.80019200000001</v>
      </c>
      <c r="W101" s="320">
        <f>VLOOKUP(R101,TARIFA1,2)</f>
        <v>158.55000000000001</v>
      </c>
      <c r="X101" s="320">
        <f>V101+W101</f>
        <v>359.35019199999999</v>
      </c>
      <c r="Y101" s="320">
        <f>VLOOKUP(R101,Credito1,2)</f>
        <v>0</v>
      </c>
      <c r="Z101" s="320">
        <f>ROUND(X101-Y101,2)</f>
        <v>359.35</v>
      </c>
      <c r="AA101" s="324"/>
      <c r="AB101" s="320">
        <f>-IF(Z101&gt;0,0,Z101)</f>
        <v>0</v>
      </c>
      <c r="AC101" s="320">
        <f>IF(Z101&lt;0,0,Z101)</f>
        <v>359.35</v>
      </c>
      <c r="AD101" s="320">
        <v>0</v>
      </c>
      <c r="AE101" s="321">
        <v>0</v>
      </c>
      <c r="AF101" s="321">
        <v>0</v>
      </c>
      <c r="AG101" s="325">
        <v>0</v>
      </c>
      <c r="AH101" s="320">
        <f>SUM(AC101:AG101)</f>
        <v>359.35</v>
      </c>
      <c r="AI101" s="311">
        <f>O101+AB101-AH101</f>
        <v>4185.6499999999996</v>
      </c>
      <c r="AJ101" s="315"/>
      <c r="AK101" s="225"/>
      <c r="AL101" s="225"/>
    </row>
    <row r="102" spans="2:40" ht="21.75" customHeight="1" x14ac:dyDescent="0.25">
      <c r="B102" s="309"/>
      <c r="C102" s="344"/>
      <c r="D102" s="328" t="s">
        <v>111</v>
      </c>
      <c r="E102" s="343"/>
      <c r="F102" s="331"/>
      <c r="G102" s="326"/>
      <c r="H102" s="327">
        <f>SUM(H101:H101)</f>
        <v>4545</v>
      </c>
      <c r="I102" s="327">
        <f t="shared" ref="I102:AI102" si="75">SUM(I101:I101)</f>
        <v>0</v>
      </c>
      <c r="J102" s="327">
        <f t="shared" si="75"/>
        <v>0</v>
      </c>
      <c r="K102" s="327">
        <f t="shared" si="75"/>
        <v>0</v>
      </c>
      <c r="L102" s="327">
        <f t="shared" si="75"/>
        <v>0</v>
      </c>
      <c r="M102" s="327">
        <f t="shared" si="75"/>
        <v>0</v>
      </c>
      <c r="N102" s="327">
        <f t="shared" si="75"/>
        <v>0</v>
      </c>
      <c r="O102" s="327">
        <f t="shared" si="75"/>
        <v>4545</v>
      </c>
      <c r="P102" s="327"/>
      <c r="Q102" s="327">
        <f t="shared" si="75"/>
        <v>0</v>
      </c>
      <c r="R102" s="327">
        <f t="shared" si="75"/>
        <v>4545</v>
      </c>
      <c r="S102" s="327">
        <f t="shared" si="75"/>
        <v>2699.41</v>
      </c>
      <c r="T102" s="327">
        <f t="shared" si="75"/>
        <v>1845.5900000000001</v>
      </c>
      <c r="U102" s="327">
        <f t="shared" si="75"/>
        <v>0.10879999999999999</v>
      </c>
      <c r="V102" s="327">
        <f t="shared" si="75"/>
        <v>200.80019200000001</v>
      </c>
      <c r="W102" s="327">
        <f t="shared" si="75"/>
        <v>158.55000000000001</v>
      </c>
      <c r="X102" s="327">
        <f t="shared" si="75"/>
        <v>359.35019199999999</v>
      </c>
      <c r="Y102" s="327">
        <f t="shared" si="75"/>
        <v>0</v>
      </c>
      <c r="Z102" s="327">
        <f t="shared" si="75"/>
        <v>359.35</v>
      </c>
      <c r="AA102" s="327"/>
      <c r="AB102" s="327">
        <f t="shared" si="75"/>
        <v>0</v>
      </c>
      <c r="AC102" s="327">
        <f t="shared" si="75"/>
        <v>359.35</v>
      </c>
      <c r="AD102" s="327">
        <f t="shared" si="75"/>
        <v>0</v>
      </c>
      <c r="AE102" s="327">
        <f t="shared" si="75"/>
        <v>0</v>
      </c>
      <c r="AF102" s="327">
        <f t="shared" si="75"/>
        <v>0</v>
      </c>
      <c r="AG102" s="327">
        <f t="shared" si="75"/>
        <v>0</v>
      </c>
      <c r="AH102" s="327">
        <f t="shared" si="75"/>
        <v>359.35</v>
      </c>
      <c r="AI102" s="312">
        <f t="shared" si="75"/>
        <v>4185.6499999999996</v>
      </c>
      <c r="AJ102" s="314"/>
      <c r="AK102" s="225"/>
      <c r="AL102" s="228">
        <f>O102+AB102-AH102</f>
        <v>4185.6499999999996</v>
      </c>
      <c r="AN102" s="103"/>
    </row>
    <row r="103" spans="2:40" ht="26.25" customHeight="1" x14ac:dyDescent="0.25">
      <c r="B103" s="544" t="s">
        <v>185</v>
      </c>
      <c r="C103" s="544"/>
      <c r="D103" s="544"/>
      <c r="E103" s="544"/>
      <c r="F103" s="544"/>
      <c r="G103" s="544"/>
      <c r="H103" s="544"/>
      <c r="I103" s="544"/>
      <c r="J103" s="544"/>
      <c r="K103" s="544"/>
      <c r="L103" s="544"/>
      <c r="M103" s="544"/>
      <c r="N103" s="544"/>
      <c r="O103" s="544"/>
      <c r="P103" s="544"/>
      <c r="Q103" s="544"/>
      <c r="R103" s="544"/>
      <c r="S103" s="544"/>
      <c r="T103" s="544"/>
      <c r="U103" s="544"/>
      <c r="V103" s="544"/>
      <c r="W103" s="544"/>
      <c r="X103" s="544"/>
      <c r="Y103" s="544"/>
      <c r="Z103" s="544"/>
      <c r="AA103" s="544"/>
      <c r="AB103" s="544"/>
      <c r="AC103" s="544"/>
      <c r="AD103" s="544"/>
      <c r="AE103" s="544"/>
      <c r="AF103" s="544"/>
      <c r="AG103" s="544"/>
      <c r="AH103" s="544"/>
      <c r="AI103" s="544"/>
      <c r="AJ103" s="544"/>
      <c r="AK103" s="225"/>
      <c r="AL103" s="225"/>
      <c r="AN103" s="103"/>
    </row>
    <row r="104" spans="2:40" ht="22.5" customHeight="1" x14ac:dyDescent="0.25">
      <c r="B104" s="309">
        <v>51</v>
      </c>
      <c r="C104" s="344" t="s">
        <v>356</v>
      </c>
      <c r="D104" s="318" t="s">
        <v>113</v>
      </c>
      <c r="E104" s="341"/>
      <c r="F104" s="318">
        <v>15</v>
      </c>
      <c r="G104" s="319">
        <v>400</v>
      </c>
      <c r="H104" s="320">
        <f t="shared" ref="H104:H105" si="76">ROUND(F104*G104,2)</f>
        <v>6000</v>
      </c>
      <c r="I104" s="321">
        <v>0</v>
      </c>
      <c r="J104" s="321">
        <v>0</v>
      </c>
      <c r="K104" s="321">
        <v>0</v>
      </c>
      <c r="L104" s="321">
        <v>0</v>
      </c>
      <c r="M104" s="321">
        <v>0</v>
      </c>
      <c r="N104" s="321">
        <v>0</v>
      </c>
      <c r="O104" s="320">
        <f>SUM(H104:N104)</f>
        <v>6000</v>
      </c>
      <c r="P104" s="322"/>
      <c r="Q104" s="320">
        <f>IF(G104=47.16,0,IF(G104&gt;47.16,L104*0.5,0))</f>
        <v>0</v>
      </c>
      <c r="R104" s="320">
        <f>H104+I104+J104+M104+Q104+K104</f>
        <v>6000</v>
      </c>
      <c r="S104" s="320">
        <f>VLOOKUP(R104,TARIFA1,1)</f>
        <v>5514.76</v>
      </c>
      <c r="T104" s="320">
        <f>R104-S104</f>
        <v>485.23999999999978</v>
      </c>
      <c r="U104" s="323">
        <f>VLOOKUP(R104,TARIFA1,3)</f>
        <v>0.1792</v>
      </c>
      <c r="V104" s="320">
        <f>T104*U104</f>
        <v>86.955007999999964</v>
      </c>
      <c r="W104" s="320">
        <f>VLOOKUP(R104,TARIFA1,2)</f>
        <v>504.3</v>
      </c>
      <c r="X104" s="320">
        <f>V104+W104</f>
        <v>591.25500799999998</v>
      </c>
      <c r="Y104" s="320">
        <f>VLOOKUP(R104,Credito1,2)</f>
        <v>0</v>
      </c>
      <c r="Z104" s="320">
        <f>ROUND(X104-Y104,2)</f>
        <v>591.26</v>
      </c>
      <c r="AA104" s="324"/>
      <c r="AB104" s="320">
        <f>-IF(Z104&gt;0,0,Z104)</f>
        <v>0</v>
      </c>
      <c r="AC104" s="320">
        <f>IF(Z104&lt;0,0,Z104)</f>
        <v>591.26</v>
      </c>
      <c r="AD104" s="320">
        <v>0</v>
      </c>
      <c r="AE104" s="321">
        <v>0</v>
      </c>
      <c r="AF104" s="321">
        <v>0</v>
      </c>
      <c r="AG104" s="325">
        <v>0</v>
      </c>
      <c r="AH104" s="320">
        <f>SUM(AC104:AG104)</f>
        <v>591.26</v>
      </c>
      <c r="AI104" s="311">
        <f>O104+AB104-AH104</f>
        <v>5408.74</v>
      </c>
      <c r="AJ104" s="315"/>
      <c r="AK104" s="225"/>
      <c r="AL104" s="225"/>
      <c r="AN104" s="103"/>
    </row>
    <row r="105" spans="2:40" ht="22.5" customHeight="1" x14ac:dyDescent="0.25">
      <c r="B105" s="309">
        <v>52</v>
      </c>
      <c r="C105" s="344" t="s">
        <v>413</v>
      </c>
      <c r="D105" s="318" t="s">
        <v>120</v>
      </c>
      <c r="E105" s="341"/>
      <c r="F105" s="318">
        <v>15</v>
      </c>
      <c r="G105" s="319">
        <v>166.66659999999999</v>
      </c>
      <c r="H105" s="320">
        <f t="shared" si="76"/>
        <v>2500</v>
      </c>
      <c r="I105" s="321">
        <v>0</v>
      </c>
      <c r="J105" s="321">
        <v>0</v>
      </c>
      <c r="K105" s="321">
        <v>0</v>
      </c>
      <c r="L105" s="321">
        <v>0</v>
      </c>
      <c r="M105" s="321">
        <v>0</v>
      </c>
      <c r="N105" s="321">
        <v>0</v>
      </c>
      <c r="O105" s="320">
        <f>SUM(H105:N105)</f>
        <v>2500</v>
      </c>
      <c r="P105" s="322"/>
      <c r="Q105" s="320">
        <v>0</v>
      </c>
      <c r="R105" s="320">
        <f>H105+I105+J105+M105+Q105+K105</f>
        <v>2500</v>
      </c>
      <c r="S105" s="320">
        <f>VLOOKUP(R105,TARIFA1,1)</f>
        <v>318.01</v>
      </c>
      <c r="T105" s="320">
        <f>R105-S105</f>
        <v>2181.9899999999998</v>
      </c>
      <c r="U105" s="323">
        <f>VLOOKUP(R105,TARIFA1,3)</f>
        <v>6.4000000000000001E-2</v>
      </c>
      <c r="V105" s="320">
        <f>T105*U105</f>
        <v>139.64735999999999</v>
      </c>
      <c r="W105" s="320">
        <f>VLOOKUP(R105,TARIFA1,2)</f>
        <v>6.15</v>
      </c>
      <c r="X105" s="320">
        <f>V105+W105</f>
        <v>145.79736</v>
      </c>
      <c r="Y105" s="320">
        <f>VLOOKUP(R105,Credito1,2)</f>
        <v>160.35</v>
      </c>
      <c r="Z105" s="320">
        <f>ROUND(X105-Y105,2)</f>
        <v>-14.55</v>
      </c>
      <c r="AA105" s="324"/>
      <c r="AB105" s="320">
        <f>-IF(Z105&gt;0,0,Z105)</f>
        <v>14.55</v>
      </c>
      <c r="AC105" s="320">
        <f>IF(Z105&lt;0,0,Z105)</f>
        <v>0</v>
      </c>
      <c r="AD105" s="320">
        <v>0</v>
      </c>
      <c r="AE105" s="321">
        <v>0</v>
      </c>
      <c r="AF105" s="321">
        <v>0</v>
      </c>
      <c r="AG105" s="325">
        <v>0</v>
      </c>
      <c r="AH105" s="320">
        <f>SUM(AC105:AG105)</f>
        <v>0</v>
      </c>
      <c r="AI105" s="311">
        <f>O105+AB105-AH105</f>
        <v>2514.5500000000002</v>
      </c>
      <c r="AJ105" s="315"/>
      <c r="AK105" s="225"/>
      <c r="AL105" s="225"/>
      <c r="AN105" s="103"/>
    </row>
    <row r="106" spans="2:40" ht="21.75" customHeight="1" x14ac:dyDescent="0.25">
      <c r="B106" s="309"/>
      <c r="C106" s="344"/>
      <c r="D106" s="328" t="s">
        <v>111</v>
      </c>
      <c r="E106" s="538"/>
      <c r="F106" s="539"/>
      <c r="G106" s="326"/>
      <c r="H106" s="327">
        <f>SUM(H104:H105)</f>
        <v>8500</v>
      </c>
      <c r="I106" s="327">
        <f t="shared" ref="I106:AG106" si="77">SUM(I104:I104)</f>
        <v>0</v>
      </c>
      <c r="J106" s="327">
        <f t="shared" si="77"/>
        <v>0</v>
      </c>
      <c r="K106" s="327">
        <f t="shared" si="77"/>
        <v>0</v>
      </c>
      <c r="L106" s="327">
        <f t="shared" si="77"/>
        <v>0</v>
      </c>
      <c r="M106" s="327">
        <f t="shared" si="77"/>
        <v>0</v>
      </c>
      <c r="N106" s="327">
        <f t="shared" si="77"/>
        <v>0</v>
      </c>
      <c r="O106" s="327">
        <f>SUM(O104:O105)</f>
        <v>8500</v>
      </c>
      <c r="P106" s="327">
        <f t="shared" si="77"/>
        <v>0</v>
      </c>
      <c r="Q106" s="327">
        <f t="shared" si="77"/>
        <v>0</v>
      </c>
      <c r="R106" s="327">
        <f t="shared" si="77"/>
        <v>6000</v>
      </c>
      <c r="S106" s="327">
        <f t="shared" si="77"/>
        <v>5514.76</v>
      </c>
      <c r="T106" s="327">
        <f t="shared" si="77"/>
        <v>485.23999999999978</v>
      </c>
      <c r="U106" s="327">
        <f t="shared" si="77"/>
        <v>0.1792</v>
      </c>
      <c r="V106" s="327">
        <f t="shared" si="77"/>
        <v>86.955007999999964</v>
      </c>
      <c r="W106" s="327">
        <f t="shared" si="77"/>
        <v>504.3</v>
      </c>
      <c r="X106" s="327">
        <f t="shared" si="77"/>
        <v>591.25500799999998</v>
      </c>
      <c r="Y106" s="327">
        <f t="shared" si="77"/>
        <v>0</v>
      </c>
      <c r="Z106" s="327">
        <f t="shared" si="77"/>
        <v>591.26</v>
      </c>
      <c r="AA106" s="327"/>
      <c r="AB106" s="327">
        <f>SUM(AB104:AB105)</f>
        <v>14.55</v>
      </c>
      <c r="AC106" s="327">
        <f>SUM(AC104:AC105)</f>
        <v>591.26</v>
      </c>
      <c r="AD106" s="327">
        <f t="shared" si="77"/>
        <v>0</v>
      </c>
      <c r="AE106" s="327">
        <f t="shared" si="77"/>
        <v>0</v>
      </c>
      <c r="AF106" s="327">
        <f t="shared" si="77"/>
        <v>0</v>
      </c>
      <c r="AG106" s="327">
        <f t="shared" si="77"/>
        <v>0</v>
      </c>
      <c r="AH106" s="327">
        <f>SUM(AH104:AH105)</f>
        <v>591.26</v>
      </c>
      <c r="AI106" s="312">
        <f>SUM(AI104:AI105)</f>
        <v>7923.29</v>
      </c>
      <c r="AJ106" s="314"/>
      <c r="AK106" s="225"/>
      <c r="AL106" s="228">
        <f>O106+AB106-AH106</f>
        <v>7923.2899999999991</v>
      </c>
      <c r="AN106" s="103"/>
    </row>
    <row r="107" spans="2:40" ht="20.25" customHeight="1" x14ac:dyDescent="0.25">
      <c r="B107" s="565" t="s">
        <v>222</v>
      </c>
      <c r="C107" s="565"/>
      <c r="D107" s="565"/>
      <c r="E107" s="565"/>
      <c r="F107" s="565"/>
      <c r="G107" s="565"/>
      <c r="H107" s="565"/>
      <c r="I107" s="565"/>
      <c r="J107" s="565"/>
      <c r="K107" s="565"/>
      <c r="L107" s="565"/>
      <c r="M107" s="565"/>
      <c r="N107" s="565"/>
      <c r="O107" s="565"/>
      <c r="P107" s="565"/>
      <c r="Q107" s="565"/>
      <c r="R107" s="565"/>
      <c r="S107" s="565"/>
      <c r="T107" s="565"/>
      <c r="U107" s="565"/>
      <c r="V107" s="565"/>
      <c r="W107" s="565"/>
      <c r="X107" s="565"/>
      <c r="Y107" s="565"/>
      <c r="Z107" s="565"/>
      <c r="AA107" s="565"/>
      <c r="AB107" s="565"/>
      <c r="AC107" s="565"/>
      <c r="AD107" s="565"/>
      <c r="AE107" s="565"/>
      <c r="AF107" s="565"/>
      <c r="AG107" s="565"/>
      <c r="AH107" s="565"/>
      <c r="AI107" s="565"/>
      <c r="AJ107" s="565"/>
      <c r="AK107" s="225"/>
      <c r="AL107" s="225"/>
      <c r="AN107" s="103"/>
    </row>
    <row r="108" spans="2:40" s="103" customFormat="1" ht="17.5" x14ac:dyDescent="0.25">
      <c r="B108" s="309">
        <v>53</v>
      </c>
      <c r="C108" s="344" t="s">
        <v>414</v>
      </c>
      <c r="D108" s="318" t="s">
        <v>235</v>
      </c>
      <c r="E108" s="341"/>
      <c r="F108" s="318">
        <v>15</v>
      </c>
      <c r="G108" s="319">
        <v>303</v>
      </c>
      <c r="H108" s="320">
        <f>F108*G108</f>
        <v>4545</v>
      </c>
      <c r="I108" s="320">
        <v>0</v>
      </c>
      <c r="J108" s="320">
        <v>0</v>
      </c>
      <c r="K108" s="320">
        <v>0</v>
      </c>
      <c r="L108" s="320">
        <v>0</v>
      </c>
      <c r="M108" s="320">
        <v>0</v>
      </c>
      <c r="N108" s="320">
        <v>0</v>
      </c>
      <c r="O108" s="320">
        <f>SUM(H108:N108)</f>
        <v>4545</v>
      </c>
      <c r="P108" s="320"/>
      <c r="Q108" s="320">
        <v>0</v>
      </c>
      <c r="R108" s="320">
        <f>H108+I108+J108+K108+M108+Q108</f>
        <v>4545</v>
      </c>
      <c r="S108" s="320">
        <f>VLOOKUP(R108,TARIFA1,1)</f>
        <v>2699.41</v>
      </c>
      <c r="T108" s="320">
        <f>R108-S108</f>
        <v>1845.5900000000001</v>
      </c>
      <c r="U108" s="332">
        <f>VLOOKUP(R108,TARIFA1,3)</f>
        <v>0.10879999999999999</v>
      </c>
      <c r="V108" s="320">
        <f>T108*U108</f>
        <v>200.80019200000001</v>
      </c>
      <c r="W108" s="320">
        <f>VLOOKUP(R108,TARIFA1,2)</f>
        <v>158.55000000000001</v>
      </c>
      <c r="X108" s="320">
        <f>V108+W108</f>
        <v>359.35019199999999</v>
      </c>
      <c r="Y108" s="320">
        <f>VLOOKUP(R108,Credito1,2)</f>
        <v>0</v>
      </c>
      <c r="Z108" s="320">
        <f>ROUND(X108-Y108,2)</f>
        <v>359.35</v>
      </c>
      <c r="AA108" s="320"/>
      <c r="AB108" s="320">
        <f>-IF(Z108&gt;0,0,Z108)</f>
        <v>0</v>
      </c>
      <c r="AC108" s="320">
        <f>IF(Z108&lt;0,0,Z108)</f>
        <v>359.35</v>
      </c>
      <c r="AD108" s="320">
        <v>0</v>
      </c>
      <c r="AE108" s="320">
        <v>0</v>
      </c>
      <c r="AF108" s="320">
        <v>0</v>
      </c>
      <c r="AG108" s="320">
        <v>0</v>
      </c>
      <c r="AH108" s="320">
        <f>SUM(AC108:AG108)</f>
        <v>359.35</v>
      </c>
      <c r="AI108" s="311">
        <f>O108+AB108-AH108</f>
        <v>4185.6499999999996</v>
      </c>
      <c r="AJ108" s="314"/>
      <c r="AK108" s="225"/>
      <c r="AL108" s="225"/>
    </row>
    <row r="109" spans="2:40" ht="21.75" customHeight="1" x14ac:dyDescent="0.25">
      <c r="B109" s="309"/>
      <c r="C109" s="344"/>
      <c r="D109" s="328" t="s">
        <v>111</v>
      </c>
      <c r="E109" s="538"/>
      <c r="F109" s="539"/>
      <c r="G109" s="326"/>
      <c r="H109" s="327">
        <f>SUM(H108:H108)</f>
        <v>4545</v>
      </c>
      <c r="I109" s="327">
        <f t="shared" ref="I109:AG109" si="78">SUM(I107:I107)</f>
        <v>0</v>
      </c>
      <c r="J109" s="327">
        <f t="shared" si="78"/>
        <v>0</v>
      </c>
      <c r="K109" s="327">
        <f t="shared" si="78"/>
        <v>0</v>
      </c>
      <c r="L109" s="327">
        <f t="shared" si="78"/>
        <v>0</v>
      </c>
      <c r="M109" s="327">
        <f t="shared" si="78"/>
        <v>0</v>
      </c>
      <c r="N109" s="327">
        <f t="shared" si="78"/>
        <v>0</v>
      </c>
      <c r="O109" s="327">
        <f>SUM(O108:O108)</f>
        <v>4545</v>
      </c>
      <c r="P109" s="327">
        <f t="shared" si="78"/>
        <v>0</v>
      </c>
      <c r="Q109" s="327">
        <f t="shared" si="78"/>
        <v>0</v>
      </c>
      <c r="R109" s="327">
        <f t="shared" si="78"/>
        <v>0</v>
      </c>
      <c r="S109" s="327">
        <f t="shared" si="78"/>
        <v>0</v>
      </c>
      <c r="T109" s="327">
        <f t="shared" si="78"/>
        <v>0</v>
      </c>
      <c r="U109" s="327">
        <f t="shared" si="78"/>
        <v>0</v>
      </c>
      <c r="V109" s="327">
        <f t="shared" si="78"/>
        <v>0</v>
      </c>
      <c r="W109" s="327">
        <f t="shared" si="78"/>
        <v>0</v>
      </c>
      <c r="X109" s="327">
        <f t="shared" si="78"/>
        <v>0</v>
      </c>
      <c r="Y109" s="327">
        <f t="shared" si="78"/>
        <v>0</v>
      </c>
      <c r="Z109" s="327">
        <f t="shared" si="78"/>
        <v>0</v>
      </c>
      <c r="AA109" s="327"/>
      <c r="AB109" s="327">
        <f>SUM(AB108:AB108)</f>
        <v>0</v>
      </c>
      <c r="AC109" s="327">
        <f>SUM(AC108:AC108)</f>
        <v>359.35</v>
      </c>
      <c r="AD109" s="327">
        <f t="shared" si="78"/>
        <v>0</v>
      </c>
      <c r="AE109" s="327">
        <f t="shared" si="78"/>
        <v>0</v>
      </c>
      <c r="AF109" s="327">
        <f t="shared" si="78"/>
        <v>0</v>
      </c>
      <c r="AG109" s="327">
        <f t="shared" si="78"/>
        <v>0</v>
      </c>
      <c r="AH109" s="327">
        <f>SUM(AH108:AH108)</f>
        <v>359.35</v>
      </c>
      <c r="AI109" s="312">
        <f>SUM(AI108)</f>
        <v>4185.6499999999996</v>
      </c>
      <c r="AJ109" s="314"/>
      <c r="AK109" s="225"/>
      <c r="AL109" s="228">
        <f>O109+AB109-AH109</f>
        <v>4185.6499999999996</v>
      </c>
      <c r="AN109" s="103"/>
    </row>
    <row r="110" spans="2:40" s="137" customFormat="1" ht="21.75" customHeight="1" x14ac:dyDescent="0.25">
      <c r="B110" s="543"/>
      <c r="C110" s="543"/>
      <c r="D110" s="543"/>
      <c r="E110" s="543"/>
      <c r="F110" s="543"/>
      <c r="G110" s="543"/>
      <c r="H110" s="543"/>
      <c r="I110" s="543"/>
      <c r="J110" s="543"/>
      <c r="K110" s="543"/>
      <c r="L110" s="543"/>
      <c r="M110" s="543"/>
      <c r="N110" s="543"/>
      <c r="O110" s="543"/>
      <c r="P110" s="543"/>
      <c r="Q110" s="543"/>
      <c r="R110" s="543"/>
      <c r="S110" s="543"/>
      <c r="T110" s="543"/>
      <c r="U110" s="543"/>
      <c r="V110" s="543"/>
      <c r="W110" s="543"/>
      <c r="X110" s="543"/>
      <c r="Y110" s="543"/>
      <c r="Z110" s="543"/>
      <c r="AA110" s="543"/>
      <c r="AB110" s="543"/>
      <c r="AC110" s="543"/>
      <c r="AD110" s="543"/>
      <c r="AE110" s="543"/>
      <c r="AF110" s="543"/>
      <c r="AG110" s="543"/>
      <c r="AH110" s="543"/>
      <c r="AI110" s="543"/>
      <c r="AJ110" s="543"/>
      <c r="AK110" s="225"/>
      <c r="AL110" s="225"/>
    </row>
    <row r="111" spans="2:40" ht="32.25" customHeight="1" x14ac:dyDescent="0.25">
      <c r="B111" s="564" t="s">
        <v>68</v>
      </c>
      <c r="C111" s="564"/>
      <c r="D111" s="564"/>
      <c r="E111" s="564"/>
      <c r="F111" s="564"/>
      <c r="G111" s="564"/>
      <c r="H111" s="327">
        <f t="shared" ref="H111:AH111" si="79">+H20+H23+H27+H33+H37+H44+H48+H52+H56+H59+H63+H71+H74+H78+H83+H87+H90+H94+H99+H102+H106+H109</f>
        <v>227524.9</v>
      </c>
      <c r="I111" s="327">
        <f t="shared" si="79"/>
        <v>0</v>
      </c>
      <c r="J111" s="327">
        <f t="shared" si="79"/>
        <v>0</v>
      </c>
      <c r="K111" s="327">
        <f t="shared" si="79"/>
        <v>0</v>
      </c>
      <c r="L111" s="327">
        <f t="shared" si="79"/>
        <v>0</v>
      </c>
      <c r="M111" s="327">
        <f t="shared" si="79"/>
        <v>0</v>
      </c>
      <c r="N111" s="327">
        <f t="shared" si="79"/>
        <v>0</v>
      </c>
      <c r="O111" s="327">
        <f t="shared" si="79"/>
        <v>227524.9</v>
      </c>
      <c r="P111" s="327">
        <f t="shared" si="79"/>
        <v>0</v>
      </c>
      <c r="Q111" s="327">
        <f t="shared" si="79"/>
        <v>0</v>
      </c>
      <c r="R111" s="327">
        <f t="shared" si="79"/>
        <v>201445.9</v>
      </c>
      <c r="S111" s="327">
        <f t="shared" si="79"/>
        <v>131207.41999999998</v>
      </c>
      <c r="T111" s="327">
        <f t="shared" si="79"/>
        <v>70238.48</v>
      </c>
      <c r="U111" s="327">
        <f t="shared" si="79"/>
        <v>5.1839999999999984</v>
      </c>
      <c r="V111" s="327">
        <f t="shared" si="79"/>
        <v>7511.2487999999985</v>
      </c>
      <c r="W111" s="327">
        <f t="shared" si="79"/>
        <v>11633.7</v>
      </c>
      <c r="X111" s="327">
        <f t="shared" si="79"/>
        <v>19144.948800000006</v>
      </c>
      <c r="Y111" s="327">
        <f t="shared" si="79"/>
        <v>3806.5499999999997</v>
      </c>
      <c r="Z111" s="327">
        <f t="shared" si="79"/>
        <v>15338.410000000003</v>
      </c>
      <c r="AA111" s="327">
        <f t="shared" si="79"/>
        <v>0</v>
      </c>
      <c r="AB111" s="327">
        <f t="shared" si="79"/>
        <v>703.20999999999981</v>
      </c>
      <c r="AC111" s="327">
        <f t="shared" si="79"/>
        <v>18062.419999999998</v>
      </c>
      <c r="AD111" s="327">
        <f t="shared" si="79"/>
        <v>0</v>
      </c>
      <c r="AE111" s="327">
        <f t="shared" si="79"/>
        <v>0</v>
      </c>
      <c r="AF111" s="327">
        <f t="shared" si="79"/>
        <v>0</v>
      </c>
      <c r="AG111" s="327">
        <f t="shared" si="79"/>
        <v>0</v>
      </c>
      <c r="AH111" s="327">
        <f t="shared" si="79"/>
        <v>18062.419999999998</v>
      </c>
      <c r="AI111" s="312">
        <f>+AI20+AI23+AI27+AI33+AI37+AI44+AI48+AI52+AI56+AI59+AI63+AI71+AI74+AI78+AI83+AI87+AI90+AI94+AI99+AI102+AI106+AI109</f>
        <v>210165.68999999997</v>
      </c>
      <c r="AJ111" s="314"/>
      <c r="AK111" s="225"/>
      <c r="AL111" s="228">
        <f>O111+AB111-AH111</f>
        <v>210165.69</v>
      </c>
      <c r="AN111" s="103"/>
    </row>
    <row r="112" spans="2:40" ht="24" customHeight="1" x14ac:dyDescent="0.25">
      <c r="B112" s="351"/>
      <c r="C112" s="348"/>
      <c r="D112" s="333"/>
      <c r="E112" s="333"/>
      <c r="F112" s="333"/>
      <c r="G112" s="333"/>
      <c r="H112" s="334"/>
      <c r="I112" s="333"/>
      <c r="J112" s="333"/>
      <c r="K112" s="333"/>
      <c r="L112" s="333"/>
      <c r="M112" s="333"/>
      <c r="N112" s="333"/>
      <c r="O112" s="333"/>
      <c r="P112" s="333"/>
      <c r="Q112" s="333"/>
      <c r="R112" s="333"/>
      <c r="S112" s="333"/>
      <c r="T112" s="333"/>
      <c r="U112" s="333"/>
      <c r="V112" s="333"/>
      <c r="W112" s="333"/>
      <c r="X112" s="333"/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51"/>
      <c r="AJ112" s="181"/>
      <c r="AK112" s="225"/>
      <c r="AL112" s="225"/>
      <c r="AN112" s="103"/>
    </row>
    <row r="113" spans="2:38" x14ac:dyDescent="0.25">
      <c r="B113" s="351"/>
      <c r="C113" s="348"/>
      <c r="D113" s="333"/>
      <c r="E113" s="333"/>
      <c r="F113" s="333"/>
      <c r="G113" s="333"/>
      <c r="H113" s="333"/>
      <c r="I113" s="333"/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3"/>
      <c r="X113" s="333"/>
      <c r="Y113" s="333"/>
      <c r="Z113" s="333"/>
      <c r="AA113" s="333"/>
      <c r="AB113" s="333"/>
      <c r="AC113" s="333"/>
      <c r="AD113" s="333"/>
      <c r="AE113" s="333"/>
      <c r="AF113" s="333"/>
      <c r="AG113" s="333"/>
      <c r="AH113" s="333"/>
      <c r="AI113" s="351"/>
      <c r="AJ113" s="181"/>
      <c r="AK113" s="225"/>
      <c r="AL113" s="225"/>
    </row>
    <row r="114" spans="2:38" x14ac:dyDescent="0.25">
      <c r="B114" s="351"/>
      <c r="C114" s="348"/>
      <c r="D114" s="333"/>
      <c r="E114" s="333"/>
      <c r="F114" s="333"/>
      <c r="G114" s="333"/>
      <c r="H114" s="333"/>
      <c r="I114" s="333"/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3"/>
      <c r="X114" s="333"/>
      <c r="Y114" s="333"/>
      <c r="Z114" s="333"/>
      <c r="AA114" s="333"/>
      <c r="AB114" s="333"/>
      <c r="AC114" s="333"/>
      <c r="AD114" s="333"/>
      <c r="AE114" s="333"/>
      <c r="AF114" s="333"/>
      <c r="AG114" s="333"/>
      <c r="AH114" s="333"/>
      <c r="AI114" s="351"/>
      <c r="AJ114" s="181"/>
      <c r="AK114" s="225"/>
      <c r="AL114" s="225"/>
    </row>
    <row r="115" spans="2:38" ht="17.5" thickBot="1" x14ac:dyDescent="0.3">
      <c r="B115" s="351"/>
      <c r="C115" s="349"/>
      <c r="D115" s="335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3"/>
      <c r="U115" s="333"/>
      <c r="V115" s="333"/>
      <c r="W115" s="333"/>
      <c r="X115" s="333"/>
      <c r="Y115" s="333"/>
      <c r="Z115" s="333"/>
      <c r="AA115" s="333"/>
      <c r="AB115" s="335"/>
      <c r="AC115" s="335"/>
      <c r="AD115" s="333"/>
      <c r="AE115" s="333"/>
      <c r="AF115" s="333"/>
      <c r="AG115" s="335"/>
      <c r="AH115" s="335"/>
      <c r="AI115" s="352"/>
      <c r="AJ115" s="195"/>
      <c r="AK115" s="225"/>
      <c r="AL115" s="225"/>
    </row>
    <row r="116" spans="2:38" ht="25.5" customHeight="1" x14ac:dyDescent="0.25">
      <c r="B116" s="351"/>
      <c r="C116" s="532" t="s">
        <v>275</v>
      </c>
      <c r="D116" s="532"/>
      <c r="E116" s="333"/>
      <c r="F116" s="333"/>
      <c r="G116" s="333"/>
      <c r="H116" s="33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3"/>
      <c r="X116" s="333"/>
      <c r="Y116" s="333"/>
      <c r="Z116" s="333"/>
      <c r="AA116" s="333"/>
      <c r="AB116" s="520" t="s">
        <v>276</v>
      </c>
      <c r="AC116" s="520"/>
      <c r="AD116" s="520"/>
      <c r="AE116" s="520"/>
      <c r="AF116" s="520"/>
      <c r="AG116" s="520"/>
      <c r="AH116" s="520"/>
      <c r="AI116" s="520"/>
      <c r="AJ116" s="520"/>
      <c r="AK116" s="225"/>
      <c r="AL116" s="225"/>
    </row>
    <row r="117" spans="2:38" ht="25.5" customHeight="1" x14ac:dyDescent="0.25">
      <c r="B117" s="351"/>
      <c r="C117" s="521" t="s">
        <v>103</v>
      </c>
      <c r="D117" s="521"/>
      <c r="E117" s="333"/>
      <c r="F117" s="333"/>
      <c r="G117" s="333"/>
      <c r="H117" s="333"/>
      <c r="I117" s="333"/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3"/>
      <c r="X117" s="333"/>
      <c r="Y117" s="333"/>
      <c r="Z117" s="333"/>
      <c r="AA117" s="333"/>
      <c r="AB117" s="521" t="s">
        <v>104</v>
      </c>
      <c r="AC117" s="521"/>
      <c r="AD117" s="521"/>
      <c r="AE117" s="521"/>
      <c r="AF117" s="521"/>
      <c r="AG117" s="521"/>
      <c r="AH117" s="521"/>
      <c r="AI117" s="521"/>
      <c r="AJ117" s="521"/>
      <c r="AK117" s="225"/>
      <c r="AL117" s="225"/>
    </row>
    <row r="118" spans="2:38" x14ac:dyDescent="0.3">
      <c r="AI118" s="353"/>
    </row>
    <row r="119" spans="2:38" x14ac:dyDescent="0.3">
      <c r="AH119" s="338"/>
      <c r="AI119" s="354"/>
    </row>
    <row r="120" spans="2:38" x14ac:dyDescent="0.3">
      <c r="AH120" s="338"/>
      <c r="AI120" s="354"/>
    </row>
    <row r="121" spans="2:38" x14ac:dyDescent="0.3">
      <c r="AH121" s="339"/>
      <c r="AI121" s="354"/>
    </row>
    <row r="122" spans="2:38" x14ac:dyDescent="0.3">
      <c r="AH122" s="337"/>
      <c r="AI122" s="353"/>
    </row>
    <row r="123" spans="2:38" x14ac:dyDescent="0.3">
      <c r="AI123" s="353"/>
    </row>
    <row r="124" spans="2:38" x14ac:dyDescent="0.3">
      <c r="AI124" s="353"/>
    </row>
    <row r="126" spans="2:38" x14ac:dyDescent="0.3">
      <c r="AH126" s="337"/>
    </row>
    <row r="129" spans="35:35" x14ac:dyDescent="0.3">
      <c r="AI129" s="353"/>
    </row>
  </sheetData>
  <mergeCells count="62">
    <mergeCell ref="C7:AJ7"/>
    <mergeCell ref="B8:AI8"/>
    <mergeCell ref="H10:O10"/>
    <mergeCell ref="S10:X10"/>
    <mergeCell ref="B111:G111"/>
    <mergeCell ref="B13:AJ13"/>
    <mergeCell ref="B49:AJ49"/>
    <mergeCell ref="B60:AJ60"/>
    <mergeCell ref="B72:AJ72"/>
    <mergeCell ref="B103:AJ103"/>
    <mergeCell ref="B107:AJ107"/>
    <mergeCell ref="B88:AJ88"/>
    <mergeCell ref="B91:AJ91"/>
    <mergeCell ref="B100:AJ100"/>
    <mergeCell ref="E90:F90"/>
    <mergeCell ref="B10:E10"/>
    <mergeCell ref="AH11:AH12"/>
    <mergeCell ref="AC11:AC12"/>
    <mergeCell ref="AB10:AB12"/>
    <mergeCell ref="AC10:AI10"/>
    <mergeCell ref="AI11:AI12"/>
    <mergeCell ref="D11:D12"/>
    <mergeCell ref="C11:C12"/>
    <mergeCell ref="B11:B12"/>
    <mergeCell ref="E71:F71"/>
    <mergeCell ref="E109:F109"/>
    <mergeCell ref="E106:F106"/>
    <mergeCell ref="E99:F99"/>
    <mergeCell ref="E78:F78"/>
    <mergeCell ref="E74:F74"/>
    <mergeCell ref="B110:AJ110"/>
    <mergeCell ref="B75:AJ75"/>
    <mergeCell ref="AJ10:AJ12"/>
    <mergeCell ref="B9:AJ9"/>
    <mergeCell ref="C116:D116"/>
    <mergeCell ref="E27:F27"/>
    <mergeCell ref="E20:F20"/>
    <mergeCell ref="E11:E12"/>
    <mergeCell ref="B21:AJ21"/>
    <mergeCell ref="B24:AJ24"/>
    <mergeCell ref="B28:AJ28"/>
    <mergeCell ref="B53:AJ53"/>
    <mergeCell ref="B57:AJ57"/>
    <mergeCell ref="B79:AJ79"/>
    <mergeCell ref="E87:F87"/>
    <mergeCell ref="E83:F83"/>
    <mergeCell ref="AB116:AJ116"/>
    <mergeCell ref="AB117:AJ117"/>
    <mergeCell ref="C117:D117"/>
    <mergeCell ref="E37:F37"/>
    <mergeCell ref="E33:F33"/>
    <mergeCell ref="E59:F59"/>
    <mergeCell ref="E56:F56"/>
    <mergeCell ref="E52:F52"/>
    <mergeCell ref="E48:F48"/>
    <mergeCell ref="E44:F44"/>
    <mergeCell ref="B64:AJ64"/>
    <mergeCell ref="B95:AJ95"/>
    <mergeCell ref="B84:AJ84"/>
    <mergeCell ref="B34:AJ34"/>
    <mergeCell ref="B38:AJ38"/>
    <mergeCell ref="B45:AJ45"/>
  </mergeCells>
  <pageMargins left="0.62992125984251968" right="0.6692913385826772" top="0.94488188976377963" bottom="0.82677165354330717" header="0.59055118110236227" footer="0.31496062992125984"/>
  <pageSetup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S179"/>
  <sheetViews>
    <sheetView showGridLines="0" topLeftCell="B156" zoomScale="90" zoomScaleNormal="90" workbookViewId="0">
      <selection activeCell="E162" sqref="E162"/>
    </sheetView>
  </sheetViews>
  <sheetFormatPr baseColWidth="10" defaultColWidth="11.453125" defaultRowHeight="15.5" x14ac:dyDescent="0.3"/>
  <cols>
    <col min="1" max="1" width="1.26953125" style="100" customWidth="1"/>
    <col min="2" max="2" width="5.26953125" style="133" customWidth="1"/>
    <col min="3" max="3" width="36.26953125" style="494" customWidth="1"/>
    <col min="4" max="4" width="16" style="336" customWidth="1"/>
    <col min="5" max="5" width="23" style="336" customWidth="1"/>
    <col min="6" max="6" width="6.54296875" style="336" hidden="1" customWidth="1"/>
    <col min="7" max="7" width="8.7265625" style="336" hidden="1" customWidth="1"/>
    <col min="8" max="8" width="14.1796875" style="336" customWidth="1"/>
    <col min="9" max="9" width="11.81640625" style="336" hidden="1" customWidth="1"/>
    <col min="10" max="10" width="12.1796875" style="336" hidden="1" customWidth="1"/>
    <col min="11" max="11" width="11.54296875" style="336" hidden="1" customWidth="1"/>
    <col min="12" max="12" width="12" style="336" hidden="1" customWidth="1"/>
    <col min="13" max="13" width="8.453125" style="336" hidden="1" customWidth="1"/>
    <col min="14" max="14" width="7.26953125" style="336" hidden="1" customWidth="1"/>
    <col min="15" max="15" width="14.7265625" style="336" customWidth="1"/>
    <col min="16" max="16" width="8.7265625" style="336" hidden="1" customWidth="1"/>
    <col min="17" max="17" width="13.1796875" style="336" hidden="1" customWidth="1"/>
    <col min="18" max="18" width="14.453125" style="336" hidden="1" customWidth="1"/>
    <col min="19" max="19" width="13.54296875" style="336" hidden="1" customWidth="1"/>
    <col min="20" max="20" width="14.453125" style="336" hidden="1" customWidth="1"/>
    <col min="21" max="22" width="13.1796875" style="336" hidden="1" customWidth="1"/>
    <col min="23" max="23" width="12" style="336" hidden="1" customWidth="1"/>
    <col min="24" max="24" width="13.453125" style="336" hidden="1" customWidth="1"/>
    <col min="25" max="25" width="13.1796875" style="336" hidden="1" customWidth="1"/>
    <col min="26" max="26" width="12.81640625" style="336" hidden="1" customWidth="1"/>
    <col min="27" max="27" width="7.26953125" style="336" hidden="1" customWidth="1"/>
    <col min="28" max="28" width="9.453125" style="336" customWidth="1"/>
    <col min="29" max="29" width="12.81640625" style="336" customWidth="1"/>
    <col min="30" max="30" width="11.26953125" style="336" hidden="1" customWidth="1"/>
    <col min="31" max="31" width="10.453125" style="336" hidden="1" customWidth="1"/>
    <col min="32" max="32" width="12.26953125" style="336" hidden="1" customWidth="1"/>
    <col min="33" max="33" width="11.54296875" style="336" hidden="1" customWidth="1"/>
    <col min="34" max="34" width="13.26953125" style="336" customWidth="1"/>
    <col min="35" max="35" width="12.453125" style="133" customWidth="1"/>
    <col min="36" max="36" width="31.1796875" style="100" customWidth="1"/>
    <col min="37" max="37" width="11.453125" style="100"/>
    <col min="38" max="38" width="13.81640625" style="100" customWidth="1"/>
    <col min="39" max="16384" width="11.453125" style="100"/>
  </cols>
  <sheetData>
    <row r="2" spans="1:45" x14ac:dyDescent="0.3">
      <c r="B2" s="134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134"/>
      <c r="AJ2" s="225"/>
      <c r="AK2" s="225"/>
    </row>
    <row r="3" spans="1:45" x14ac:dyDescent="0.3">
      <c r="B3" s="134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134"/>
      <c r="AJ3" s="225"/>
      <c r="AK3" s="225"/>
    </row>
    <row r="4" spans="1:45" x14ac:dyDescent="0.3">
      <c r="B4" s="134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134"/>
      <c r="AJ4" s="225"/>
      <c r="AK4" s="225"/>
    </row>
    <row r="5" spans="1:45" x14ac:dyDescent="0.3">
      <c r="B5" s="134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134"/>
      <c r="AJ5" s="225"/>
      <c r="AK5" s="225"/>
    </row>
    <row r="6" spans="1:45" x14ac:dyDescent="0.3">
      <c r="B6" s="134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134"/>
      <c r="AJ6" s="225"/>
      <c r="AK6" s="225"/>
    </row>
    <row r="7" spans="1:45" ht="30" customHeight="1" x14ac:dyDescent="0.25">
      <c r="B7" s="569" t="s">
        <v>138</v>
      </c>
      <c r="C7" s="569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69"/>
      <c r="AH7" s="569"/>
      <c r="AI7" s="569"/>
      <c r="AJ7" s="569"/>
      <c r="AK7" s="225"/>
    </row>
    <row r="8" spans="1:45" s="99" customFormat="1" ht="13.5" x14ac:dyDescent="0.25">
      <c r="A8" s="100"/>
      <c r="B8" s="583" t="str">
        <f>REGIDORES!B11</f>
        <v>NOMINA DEL 1 AL 15 DE ENERO DEL 2022</v>
      </c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583"/>
      <c r="AF8" s="583"/>
      <c r="AG8" s="583"/>
      <c r="AH8" s="583"/>
      <c r="AI8" s="583"/>
      <c r="AJ8" s="583"/>
      <c r="AK8" s="226"/>
    </row>
    <row r="9" spans="1:45" s="141" customFormat="1" ht="20.25" customHeight="1" x14ac:dyDescent="0.25">
      <c r="A9" s="127"/>
      <c r="B9" s="553" t="s">
        <v>279</v>
      </c>
      <c r="C9" s="584" t="s">
        <v>43</v>
      </c>
      <c r="D9" s="549" t="s">
        <v>101</v>
      </c>
      <c r="E9" s="549" t="s">
        <v>214</v>
      </c>
      <c r="F9" s="549" t="s">
        <v>312</v>
      </c>
      <c r="G9" s="549" t="s">
        <v>313</v>
      </c>
      <c r="H9" s="563" t="s">
        <v>2</v>
      </c>
      <c r="I9" s="563"/>
      <c r="J9" s="563"/>
      <c r="K9" s="563"/>
      <c r="L9" s="563"/>
      <c r="M9" s="563"/>
      <c r="N9" s="563"/>
      <c r="O9" s="563"/>
      <c r="P9" s="307"/>
      <c r="Q9" s="361" t="s">
        <v>48</v>
      </c>
      <c r="R9" s="307"/>
      <c r="S9" s="563" t="s">
        <v>30</v>
      </c>
      <c r="T9" s="563"/>
      <c r="U9" s="563"/>
      <c r="V9" s="563"/>
      <c r="W9" s="563"/>
      <c r="X9" s="563"/>
      <c r="Y9" s="307" t="s">
        <v>278</v>
      </c>
      <c r="Z9" s="307" t="s">
        <v>31</v>
      </c>
      <c r="AA9" s="307"/>
      <c r="AB9" s="549" t="s">
        <v>202</v>
      </c>
      <c r="AC9" s="563" t="s">
        <v>3</v>
      </c>
      <c r="AD9" s="563"/>
      <c r="AE9" s="563"/>
      <c r="AF9" s="563"/>
      <c r="AG9" s="563"/>
      <c r="AH9" s="563"/>
      <c r="AI9" s="553" t="s">
        <v>310</v>
      </c>
      <c r="AJ9" s="587" t="s">
        <v>100</v>
      </c>
      <c r="AK9" s="233"/>
      <c r="AR9" s="142"/>
      <c r="AS9" s="143" t="s">
        <v>205</v>
      </c>
    </row>
    <row r="10" spans="1:45" s="141" customFormat="1" ht="12.5" x14ac:dyDescent="0.25">
      <c r="A10" s="127"/>
      <c r="B10" s="582"/>
      <c r="C10" s="585"/>
      <c r="D10" s="555"/>
      <c r="E10" s="555"/>
      <c r="F10" s="555"/>
      <c r="G10" s="550"/>
      <c r="H10" s="549" t="s">
        <v>201</v>
      </c>
      <c r="I10" s="307" t="s">
        <v>46</v>
      </c>
      <c r="J10" s="361" t="s">
        <v>46</v>
      </c>
      <c r="K10" s="307" t="s">
        <v>73</v>
      </c>
      <c r="L10" s="361" t="s">
        <v>48</v>
      </c>
      <c r="M10" s="307" t="s">
        <v>50</v>
      </c>
      <c r="N10" s="361" t="s">
        <v>50</v>
      </c>
      <c r="O10" s="549" t="s">
        <v>316</v>
      </c>
      <c r="P10" s="307"/>
      <c r="Q10" s="361" t="s">
        <v>49</v>
      </c>
      <c r="R10" s="307" t="s">
        <v>56</v>
      </c>
      <c r="S10" s="307" t="s">
        <v>33</v>
      </c>
      <c r="T10" s="307" t="s">
        <v>58</v>
      </c>
      <c r="U10" s="307" t="s">
        <v>60</v>
      </c>
      <c r="V10" s="307" t="s">
        <v>61</v>
      </c>
      <c r="W10" s="307" t="s">
        <v>35</v>
      </c>
      <c r="X10" s="307" t="s">
        <v>31</v>
      </c>
      <c r="Y10" s="307" t="s">
        <v>64</v>
      </c>
      <c r="Z10" s="307" t="s">
        <v>65</v>
      </c>
      <c r="AA10" s="307"/>
      <c r="AB10" s="555"/>
      <c r="AC10" s="549" t="s">
        <v>4</v>
      </c>
      <c r="AD10" s="307" t="s">
        <v>5</v>
      </c>
      <c r="AE10" s="307" t="s">
        <v>278</v>
      </c>
      <c r="AF10" s="307" t="s">
        <v>74</v>
      </c>
      <c r="AG10" s="549" t="s">
        <v>99</v>
      </c>
      <c r="AH10" s="549" t="s">
        <v>317</v>
      </c>
      <c r="AI10" s="582"/>
      <c r="AJ10" s="559"/>
      <c r="AK10" s="233"/>
      <c r="AR10" s="144"/>
      <c r="AS10" s="143" t="s">
        <v>206</v>
      </c>
    </row>
    <row r="11" spans="1:45" s="141" customFormat="1" ht="12" customHeight="1" x14ac:dyDescent="0.25">
      <c r="A11" s="127"/>
      <c r="B11" s="554"/>
      <c r="C11" s="586"/>
      <c r="D11" s="550"/>
      <c r="E11" s="550"/>
      <c r="F11" s="550"/>
      <c r="G11" s="307"/>
      <c r="H11" s="550"/>
      <c r="I11" s="307" t="s">
        <v>76</v>
      </c>
      <c r="J11" s="361" t="s">
        <v>47</v>
      </c>
      <c r="K11" s="307"/>
      <c r="L11" s="361" t="s">
        <v>49</v>
      </c>
      <c r="M11" s="307" t="s">
        <v>51</v>
      </c>
      <c r="N11" s="361" t="s">
        <v>52</v>
      </c>
      <c r="O11" s="550"/>
      <c r="P11" s="307"/>
      <c r="Q11" s="361" t="s">
        <v>66</v>
      </c>
      <c r="R11" s="307" t="s">
        <v>57</v>
      </c>
      <c r="S11" s="307" t="s">
        <v>34</v>
      </c>
      <c r="T11" s="307" t="s">
        <v>59</v>
      </c>
      <c r="U11" s="307" t="s">
        <v>59</v>
      </c>
      <c r="V11" s="307" t="s">
        <v>62</v>
      </c>
      <c r="W11" s="307" t="s">
        <v>36</v>
      </c>
      <c r="X11" s="307" t="s">
        <v>63</v>
      </c>
      <c r="Y11" s="307" t="s">
        <v>40</v>
      </c>
      <c r="Z11" s="307" t="s">
        <v>538</v>
      </c>
      <c r="AA11" s="307"/>
      <c r="AB11" s="550"/>
      <c r="AC11" s="550"/>
      <c r="AD11" s="307"/>
      <c r="AE11" s="307" t="s">
        <v>72</v>
      </c>
      <c r="AF11" s="307" t="s">
        <v>75</v>
      </c>
      <c r="AG11" s="550"/>
      <c r="AH11" s="550"/>
      <c r="AI11" s="554"/>
      <c r="AJ11" s="560"/>
      <c r="AK11" s="233"/>
      <c r="AN11" s="143"/>
    </row>
    <row r="12" spans="1:45" s="99" customFormat="1" ht="24" customHeight="1" x14ac:dyDescent="0.25">
      <c r="A12" s="100"/>
      <c r="B12" s="573" t="s">
        <v>108</v>
      </c>
      <c r="C12" s="573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3"/>
      <c r="AK12" s="226"/>
    </row>
    <row r="13" spans="1:45" s="105" customFormat="1" ht="24" customHeight="1" x14ac:dyDescent="0.25">
      <c r="A13" s="103"/>
      <c r="B13" s="404">
        <v>1</v>
      </c>
      <c r="C13" s="495" t="s">
        <v>265</v>
      </c>
      <c r="D13" s="362" t="s">
        <v>175</v>
      </c>
      <c r="E13" s="362"/>
      <c r="F13" s="362">
        <v>15</v>
      </c>
      <c r="G13" s="363">
        <v>400</v>
      </c>
      <c r="H13" s="364">
        <f>ROUND(F13*G13,2)</f>
        <v>6000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4">
        <f>SUM(H13:N13)</f>
        <v>6000</v>
      </c>
      <c r="P13" s="366"/>
      <c r="Q13" s="364">
        <f t="shared" ref="Q13:Q21" si="0">IF(G13=47.16,0,IF(G13&gt;47.16,L13*0.5,0))</f>
        <v>0</v>
      </c>
      <c r="R13" s="364">
        <f>H13+I13+J13+M13+Q13+K13</f>
        <v>6000</v>
      </c>
      <c r="S13" s="364">
        <f t="shared" ref="S13:S21" si="1">VLOOKUP(R13,TARIFA1,1)</f>
        <v>5514.76</v>
      </c>
      <c r="T13" s="364">
        <f>R13-S13</f>
        <v>485.23999999999978</v>
      </c>
      <c r="U13" s="367">
        <f t="shared" ref="U13:U21" si="2">VLOOKUP(R13,TARIFA1,3)</f>
        <v>0.1792</v>
      </c>
      <c r="V13" s="364">
        <f>T13*U13</f>
        <v>86.955007999999964</v>
      </c>
      <c r="W13" s="364">
        <f t="shared" ref="W13:W21" si="3">VLOOKUP(R13,TARIFA1,2)</f>
        <v>504.3</v>
      </c>
      <c r="X13" s="364">
        <f>V13+W13</f>
        <v>591.25500799999998</v>
      </c>
      <c r="Y13" s="364">
        <f t="shared" ref="Y13:Y21" si="4">VLOOKUP(R13,Credito1,2)</f>
        <v>0</v>
      </c>
      <c r="Z13" s="364">
        <f>ROUND(X13-Y13,2)</f>
        <v>591.26</v>
      </c>
      <c r="AA13" s="368"/>
      <c r="AB13" s="364">
        <f>-IF(Z13&gt;0,0,Z13)</f>
        <v>0</v>
      </c>
      <c r="AC13" s="364">
        <f>IF(Z13&lt;0,0,Z13)</f>
        <v>591.26</v>
      </c>
      <c r="AD13" s="364">
        <v>0</v>
      </c>
      <c r="AE13" s="365">
        <v>0</v>
      </c>
      <c r="AF13" s="365">
        <v>0</v>
      </c>
      <c r="AG13" s="365">
        <v>0</v>
      </c>
      <c r="AH13" s="364">
        <f>SUM(AC13:AG13)</f>
        <v>591.26</v>
      </c>
      <c r="AI13" s="414">
        <f>O13+AB13-AH13</f>
        <v>5408.74</v>
      </c>
      <c r="AJ13" s="184"/>
      <c r="AK13" s="226"/>
    </row>
    <row r="14" spans="1:45" s="99" customFormat="1" ht="24" customHeight="1" x14ac:dyDescent="0.25">
      <c r="A14" s="100"/>
      <c r="B14" s="404">
        <v>2</v>
      </c>
      <c r="C14" s="495" t="s">
        <v>467</v>
      </c>
      <c r="D14" s="362" t="s">
        <v>139</v>
      </c>
      <c r="E14" s="369"/>
      <c r="F14" s="362">
        <v>15</v>
      </c>
      <c r="G14" s="363">
        <v>166.66659999999999</v>
      </c>
      <c r="H14" s="364">
        <f t="shared" ref="H14:H21" si="5">ROUND(F14*G14,2)</f>
        <v>2500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4">
        <f t="shared" ref="O14:O21" si="6">SUM(H14:N14)</f>
        <v>2500</v>
      </c>
      <c r="P14" s="366"/>
      <c r="Q14" s="364">
        <f t="shared" si="0"/>
        <v>0</v>
      </c>
      <c r="R14" s="364">
        <f t="shared" ref="R14:R21" si="7">H14+I14+J14+M14+Q14+K14</f>
        <v>2500</v>
      </c>
      <c r="S14" s="364">
        <f t="shared" si="1"/>
        <v>318.01</v>
      </c>
      <c r="T14" s="364">
        <f t="shared" ref="T14:T21" si="8">R14-S14</f>
        <v>2181.9899999999998</v>
      </c>
      <c r="U14" s="367">
        <f t="shared" si="2"/>
        <v>6.4000000000000001E-2</v>
      </c>
      <c r="V14" s="364">
        <f>T14*U14</f>
        <v>139.64735999999999</v>
      </c>
      <c r="W14" s="364">
        <f t="shared" si="3"/>
        <v>6.15</v>
      </c>
      <c r="X14" s="364">
        <f>V14+W14</f>
        <v>145.79736</v>
      </c>
      <c r="Y14" s="364">
        <f t="shared" si="4"/>
        <v>160.35</v>
      </c>
      <c r="Z14" s="364">
        <f t="shared" ref="Z14:Z21" si="9">ROUND(X14-Y14,2)</f>
        <v>-14.55</v>
      </c>
      <c r="AA14" s="368"/>
      <c r="AB14" s="364">
        <f t="shared" ref="AB14:AB21" si="10">-IF(Z14&gt;0,0,Z14)</f>
        <v>14.55</v>
      </c>
      <c r="AC14" s="364">
        <f t="shared" ref="AC14:AC21" si="11">IF(Z14&lt;0,0,Z14)</f>
        <v>0</v>
      </c>
      <c r="AD14" s="364">
        <v>0</v>
      </c>
      <c r="AE14" s="365">
        <v>0</v>
      </c>
      <c r="AF14" s="365">
        <v>0</v>
      </c>
      <c r="AG14" s="365">
        <v>0</v>
      </c>
      <c r="AH14" s="364">
        <f t="shared" ref="AH14:AH21" si="12">SUM(AC14:AG14)</f>
        <v>0</v>
      </c>
      <c r="AI14" s="414">
        <f t="shared" ref="AI14:AI20" si="13">O14+AB14-AH14</f>
        <v>2514.5500000000002</v>
      </c>
      <c r="AJ14" s="184"/>
      <c r="AK14" s="226"/>
    </row>
    <row r="15" spans="1:45" s="99" customFormat="1" ht="28.5" customHeight="1" x14ac:dyDescent="0.25">
      <c r="A15" s="100"/>
      <c r="B15" s="404">
        <v>3</v>
      </c>
      <c r="C15" s="495" t="s">
        <v>509</v>
      </c>
      <c r="D15" s="318" t="s">
        <v>186</v>
      </c>
      <c r="E15" s="369"/>
      <c r="F15" s="362">
        <v>15</v>
      </c>
      <c r="G15" s="363">
        <v>271.2</v>
      </c>
      <c r="H15" s="364">
        <f t="shared" si="5"/>
        <v>4068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4">
        <f t="shared" si="6"/>
        <v>4068</v>
      </c>
      <c r="P15" s="366"/>
      <c r="Q15" s="364">
        <f t="shared" si="0"/>
        <v>0</v>
      </c>
      <c r="R15" s="364">
        <f t="shared" si="7"/>
        <v>4068</v>
      </c>
      <c r="S15" s="364">
        <f t="shared" si="1"/>
        <v>2699.41</v>
      </c>
      <c r="T15" s="364">
        <f t="shared" si="8"/>
        <v>1368.5900000000001</v>
      </c>
      <c r="U15" s="367">
        <f t="shared" si="2"/>
        <v>0.10879999999999999</v>
      </c>
      <c r="V15" s="364">
        <f>T15*U15</f>
        <v>148.902592</v>
      </c>
      <c r="W15" s="364">
        <f t="shared" si="3"/>
        <v>158.55000000000001</v>
      </c>
      <c r="X15" s="364">
        <f>V15+W15</f>
        <v>307.45259199999998</v>
      </c>
      <c r="Y15" s="364">
        <f t="shared" si="4"/>
        <v>0</v>
      </c>
      <c r="Z15" s="364">
        <f t="shared" si="9"/>
        <v>307.45</v>
      </c>
      <c r="AA15" s="368"/>
      <c r="AB15" s="364">
        <f t="shared" si="10"/>
        <v>0</v>
      </c>
      <c r="AC15" s="364">
        <f t="shared" si="11"/>
        <v>307.45</v>
      </c>
      <c r="AD15" s="364">
        <v>0</v>
      </c>
      <c r="AE15" s="365">
        <v>0</v>
      </c>
      <c r="AF15" s="365">
        <v>0</v>
      </c>
      <c r="AG15" s="365">
        <v>0</v>
      </c>
      <c r="AH15" s="364">
        <f t="shared" si="12"/>
        <v>307.45</v>
      </c>
      <c r="AI15" s="414">
        <f t="shared" si="13"/>
        <v>3760.55</v>
      </c>
      <c r="AJ15" s="184"/>
      <c r="AK15" s="226"/>
    </row>
    <row r="16" spans="1:45" s="99" customFormat="1" ht="28.5" customHeight="1" x14ac:dyDescent="0.25">
      <c r="A16" s="100"/>
      <c r="B16" s="404">
        <v>4</v>
      </c>
      <c r="C16" s="495" t="s">
        <v>483</v>
      </c>
      <c r="D16" s="318" t="s">
        <v>132</v>
      </c>
      <c r="E16" s="369"/>
      <c r="F16" s="362">
        <v>15</v>
      </c>
      <c r="G16" s="363">
        <v>108.6</v>
      </c>
      <c r="H16" s="364">
        <f t="shared" si="5"/>
        <v>1629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4">
        <f t="shared" si="6"/>
        <v>1629</v>
      </c>
      <c r="P16" s="366"/>
      <c r="Q16" s="364">
        <f t="shared" si="0"/>
        <v>0</v>
      </c>
      <c r="R16" s="364">
        <f t="shared" si="7"/>
        <v>1629</v>
      </c>
      <c r="S16" s="364">
        <f t="shared" si="1"/>
        <v>318.01</v>
      </c>
      <c r="T16" s="364">
        <f t="shared" si="8"/>
        <v>1310.99</v>
      </c>
      <c r="U16" s="367">
        <f t="shared" si="2"/>
        <v>6.4000000000000001E-2</v>
      </c>
      <c r="V16" s="364">
        <f>T16*U16</f>
        <v>83.903360000000006</v>
      </c>
      <c r="W16" s="364">
        <f t="shared" si="3"/>
        <v>6.15</v>
      </c>
      <c r="X16" s="364">
        <f>V16+W16</f>
        <v>90.053360000000012</v>
      </c>
      <c r="Y16" s="364">
        <f t="shared" si="4"/>
        <v>200.7</v>
      </c>
      <c r="Z16" s="364">
        <f t="shared" si="9"/>
        <v>-110.65</v>
      </c>
      <c r="AA16" s="368"/>
      <c r="AB16" s="364">
        <f t="shared" si="10"/>
        <v>110.65</v>
      </c>
      <c r="AC16" s="364">
        <f t="shared" si="11"/>
        <v>0</v>
      </c>
      <c r="AD16" s="364">
        <v>0</v>
      </c>
      <c r="AE16" s="365">
        <v>0</v>
      </c>
      <c r="AF16" s="365">
        <v>0</v>
      </c>
      <c r="AG16" s="365">
        <v>0</v>
      </c>
      <c r="AH16" s="364">
        <f t="shared" si="12"/>
        <v>0</v>
      </c>
      <c r="AI16" s="414">
        <f t="shared" si="13"/>
        <v>1739.65</v>
      </c>
      <c r="AJ16" s="184"/>
      <c r="AK16" s="226"/>
    </row>
    <row r="17" spans="1:38" s="99" customFormat="1" ht="24" customHeight="1" x14ac:dyDescent="0.25">
      <c r="A17" s="100"/>
      <c r="B17" s="404">
        <v>5</v>
      </c>
      <c r="C17" s="495" t="s">
        <v>399</v>
      </c>
      <c r="D17" s="362" t="s">
        <v>118</v>
      </c>
      <c r="E17" s="369"/>
      <c r="F17" s="362">
        <v>15</v>
      </c>
      <c r="G17" s="363">
        <v>166.66659999999999</v>
      </c>
      <c r="H17" s="364">
        <f t="shared" si="5"/>
        <v>2500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4">
        <f t="shared" si="6"/>
        <v>2500</v>
      </c>
      <c r="P17" s="366"/>
      <c r="Q17" s="364">
        <f t="shared" si="0"/>
        <v>0</v>
      </c>
      <c r="R17" s="364">
        <f t="shared" si="7"/>
        <v>2500</v>
      </c>
      <c r="S17" s="364">
        <f t="shared" si="1"/>
        <v>318.01</v>
      </c>
      <c r="T17" s="364">
        <f t="shared" si="8"/>
        <v>2181.9899999999998</v>
      </c>
      <c r="U17" s="367">
        <f t="shared" si="2"/>
        <v>6.4000000000000001E-2</v>
      </c>
      <c r="V17" s="364">
        <f>T17*U17</f>
        <v>139.64735999999999</v>
      </c>
      <c r="W17" s="364">
        <f t="shared" si="3"/>
        <v>6.15</v>
      </c>
      <c r="X17" s="364">
        <f t="shared" ref="X17:X21" si="14">V17+W17</f>
        <v>145.79736</v>
      </c>
      <c r="Y17" s="364">
        <f t="shared" si="4"/>
        <v>160.35</v>
      </c>
      <c r="Z17" s="364">
        <f t="shared" si="9"/>
        <v>-14.55</v>
      </c>
      <c r="AA17" s="368"/>
      <c r="AB17" s="364">
        <f t="shared" si="10"/>
        <v>14.55</v>
      </c>
      <c r="AC17" s="364">
        <f t="shared" si="11"/>
        <v>0</v>
      </c>
      <c r="AD17" s="364">
        <v>0</v>
      </c>
      <c r="AE17" s="365">
        <v>0</v>
      </c>
      <c r="AF17" s="365">
        <v>0</v>
      </c>
      <c r="AG17" s="365">
        <v>0</v>
      </c>
      <c r="AH17" s="364">
        <f t="shared" si="12"/>
        <v>0</v>
      </c>
      <c r="AI17" s="414">
        <f t="shared" si="13"/>
        <v>2514.5500000000002</v>
      </c>
      <c r="AJ17" s="184"/>
      <c r="AK17" s="226"/>
    </row>
    <row r="18" spans="1:38" s="105" customFormat="1" ht="24" customHeight="1" x14ac:dyDescent="0.25">
      <c r="A18" s="103"/>
      <c r="B18" s="404">
        <v>6</v>
      </c>
      <c r="C18" s="495" t="s">
        <v>477</v>
      </c>
      <c r="D18" s="362" t="s">
        <v>232</v>
      </c>
      <c r="E18" s="369"/>
      <c r="F18" s="362">
        <v>15</v>
      </c>
      <c r="G18" s="363">
        <v>233.3999</v>
      </c>
      <c r="H18" s="364">
        <f t="shared" si="5"/>
        <v>3501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4">
        <f t="shared" si="6"/>
        <v>3501</v>
      </c>
      <c r="P18" s="366"/>
      <c r="Q18" s="364">
        <f t="shared" si="0"/>
        <v>0</v>
      </c>
      <c r="R18" s="364">
        <f t="shared" si="7"/>
        <v>3501</v>
      </c>
      <c r="S18" s="364">
        <f t="shared" si="1"/>
        <v>2699.41</v>
      </c>
      <c r="T18" s="364">
        <f t="shared" si="8"/>
        <v>801.59000000000015</v>
      </c>
      <c r="U18" s="367">
        <f t="shared" si="2"/>
        <v>0.10879999999999999</v>
      </c>
      <c r="V18" s="364">
        <f t="shared" ref="V18:V19" si="15">T18*U18</f>
        <v>87.212992000000014</v>
      </c>
      <c r="W18" s="364">
        <f t="shared" si="3"/>
        <v>158.55000000000001</v>
      </c>
      <c r="X18" s="364">
        <f t="shared" si="14"/>
        <v>245.76299200000003</v>
      </c>
      <c r="Y18" s="364">
        <f t="shared" si="4"/>
        <v>125.1</v>
      </c>
      <c r="Z18" s="364">
        <f t="shared" si="9"/>
        <v>120.66</v>
      </c>
      <c r="AA18" s="368"/>
      <c r="AB18" s="364">
        <f t="shared" si="10"/>
        <v>0</v>
      </c>
      <c r="AC18" s="364">
        <f t="shared" si="11"/>
        <v>120.66</v>
      </c>
      <c r="AD18" s="364"/>
      <c r="AE18" s="365">
        <v>0</v>
      </c>
      <c r="AF18" s="365">
        <v>0</v>
      </c>
      <c r="AG18" s="365">
        <v>0</v>
      </c>
      <c r="AH18" s="364">
        <f t="shared" si="12"/>
        <v>120.66</v>
      </c>
      <c r="AI18" s="414">
        <f t="shared" si="13"/>
        <v>3380.34</v>
      </c>
      <c r="AJ18" s="184"/>
      <c r="AK18" s="226"/>
    </row>
    <row r="19" spans="1:38" s="105" customFormat="1" ht="24" customHeight="1" x14ac:dyDescent="0.25">
      <c r="A19" s="103"/>
      <c r="B19" s="404">
        <v>7</v>
      </c>
      <c r="C19" s="495" t="s">
        <v>504</v>
      </c>
      <c r="D19" s="362" t="s">
        <v>119</v>
      </c>
      <c r="E19" s="369"/>
      <c r="F19" s="362">
        <v>15</v>
      </c>
      <c r="G19" s="363">
        <v>166.66659999999999</v>
      </c>
      <c r="H19" s="364">
        <f t="shared" si="5"/>
        <v>2500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4">
        <f t="shared" si="6"/>
        <v>2500</v>
      </c>
      <c r="P19" s="366"/>
      <c r="Q19" s="364">
        <f t="shared" si="0"/>
        <v>0</v>
      </c>
      <c r="R19" s="364">
        <f t="shared" si="7"/>
        <v>2500</v>
      </c>
      <c r="S19" s="364">
        <f t="shared" si="1"/>
        <v>318.01</v>
      </c>
      <c r="T19" s="364">
        <f t="shared" si="8"/>
        <v>2181.9899999999998</v>
      </c>
      <c r="U19" s="367">
        <f t="shared" si="2"/>
        <v>6.4000000000000001E-2</v>
      </c>
      <c r="V19" s="364">
        <f t="shared" si="15"/>
        <v>139.64735999999999</v>
      </c>
      <c r="W19" s="364">
        <f t="shared" si="3"/>
        <v>6.15</v>
      </c>
      <c r="X19" s="364">
        <f t="shared" si="14"/>
        <v>145.79736</v>
      </c>
      <c r="Y19" s="364">
        <f t="shared" si="4"/>
        <v>160.35</v>
      </c>
      <c r="Z19" s="364">
        <f t="shared" si="9"/>
        <v>-14.55</v>
      </c>
      <c r="AA19" s="368"/>
      <c r="AB19" s="364">
        <f t="shared" si="10"/>
        <v>14.55</v>
      </c>
      <c r="AC19" s="364">
        <f t="shared" si="11"/>
        <v>0</v>
      </c>
      <c r="AD19" s="364"/>
      <c r="AE19" s="365">
        <v>0</v>
      </c>
      <c r="AF19" s="365">
        <v>0</v>
      </c>
      <c r="AG19" s="365">
        <v>0</v>
      </c>
      <c r="AH19" s="364">
        <f t="shared" si="12"/>
        <v>0</v>
      </c>
      <c r="AI19" s="414">
        <f t="shared" si="13"/>
        <v>2514.5500000000002</v>
      </c>
      <c r="AJ19" s="184"/>
      <c r="AK19" s="226"/>
    </row>
    <row r="20" spans="1:38" s="105" customFormat="1" ht="24" customHeight="1" x14ac:dyDescent="0.25">
      <c r="A20" s="103"/>
      <c r="B20" s="404">
        <v>8</v>
      </c>
      <c r="C20" s="495" t="s">
        <v>469</v>
      </c>
      <c r="D20" s="362" t="s">
        <v>262</v>
      </c>
      <c r="E20" s="369"/>
      <c r="F20" s="362">
        <v>15</v>
      </c>
      <c r="G20" s="363">
        <v>86.666600000000003</v>
      </c>
      <c r="H20" s="364">
        <f t="shared" si="5"/>
        <v>1300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4">
        <f t="shared" si="6"/>
        <v>1300</v>
      </c>
      <c r="P20" s="366"/>
      <c r="Q20" s="364">
        <f t="shared" si="0"/>
        <v>0</v>
      </c>
      <c r="R20" s="364">
        <f t="shared" si="7"/>
        <v>1300</v>
      </c>
      <c r="S20" s="364">
        <f t="shared" si="1"/>
        <v>318.01</v>
      </c>
      <c r="T20" s="364">
        <f t="shared" si="8"/>
        <v>981.99</v>
      </c>
      <c r="U20" s="367">
        <f t="shared" si="2"/>
        <v>6.4000000000000001E-2</v>
      </c>
      <c r="V20" s="364">
        <f>T20*U20</f>
        <v>62.847360000000002</v>
      </c>
      <c r="W20" s="364">
        <f t="shared" si="3"/>
        <v>6.15</v>
      </c>
      <c r="X20" s="364">
        <f t="shared" si="14"/>
        <v>68.99736</v>
      </c>
      <c r="Y20" s="364">
        <f t="shared" si="4"/>
        <v>200.7</v>
      </c>
      <c r="Z20" s="364">
        <f t="shared" si="9"/>
        <v>-131.69999999999999</v>
      </c>
      <c r="AA20" s="368"/>
      <c r="AB20" s="364">
        <f t="shared" si="10"/>
        <v>131.69999999999999</v>
      </c>
      <c r="AC20" s="364">
        <f t="shared" si="11"/>
        <v>0</v>
      </c>
      <c r="AD20" s="364">
        <v>0</v>
      </c>
      <c r="AE20" s="365">
        <v>0</v>
      </c>
      <c r="AF20" s="365">
        <v>0</v>
      </c>
      <c r="AG20" s="365">
        <v>0</v>
      </c>
      <c r="AH20" s="364">
        <f t="shared" si="12"/>
        <v>0</v>
      </c>
      <c r="AI20" s="414">
        <f t="shared" si="13"/>
        <v>1431.7</v>
      </c>
      <c r="AJ20" s="184"/>
      <c r="AK20" s="226"/>
    </row>
    <row r="21" spans="1:38" s="105" customFormat="1" ht="24" customHeight="1" x14ac:dyDescent="0.25">
      <c r="A21" s="103"/>
      <c r="B21" s="404">
        <v>9</v>
      </c>
      <c r="C21" s="495" t="s">
        <v>390</v>
      </c>
      <c r="D21" s="362" t="s">
        <v>284</v>
      </c>
      <c r="E21" s="369"/>
      <c r="F21" s="362">
        <v>15</v>
      </c>
      <c r="G21" s="363">
        <v>186.66659999999999</v>
      </c>
      <c r="H21" s="364">
        <f t="shared" si="5"/>
        <v>2800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4">
        <f t="shared" si="6"/>
        <v>2800</v>
      </c>
      <c r="P21" s="366"/>
      <c r="Q21" s="364">
        <f t="shared" si="0"/>
        <v>0</v>
      </c>
      <c r="R21" s="364">
        <f t="shared" si="7"/>
        <v>2800</v>
      </c>
      <c r="S21" s="364">
        <f t="shared" si="1"/>
        <v>2699.41</v>
      </c>
      <c r="T21" s="364">
        <f t="shared" si="8"/>
        <v>100.59000000000015</v>
      </c>
      <c r="U21" s="367">
        <f t="shared" si="2"/>
        <v>0.10879999999999999</v>
      </c>
      <c r="V21" s="364">
        <f>T21*U21</f>
        <v>10.944192000000015</v>
      </c>
      <c r="W21" s="364">
        <f t="shared" si="3"/>
        <v>158.55000000000001</v>
      </c>
      <c r="X21" s="364">
        <f t="shared" si="14"/>
        <v>169.49419200000003</v>
      </c>
      <c r="Y21" s="364">
        <f t="shared" si="4"/>
        <v>145.35</v>
      </c>
      <c r="Z21" s="364">
        <f t="shared" si="9"/>
        <v>24.14</v>
      </c>
      <c r="AA21" s="368"/>
      <c r="AB21" s="364">
        <f t="shared" si="10"/>
        <v>0</v>
      </c>
      <c r="AC21" s="364">
        <f t="shared" si="11"/>
        <v>24.14</v>
      </c>
      <c r="AD21" s="364"/>
      <c r="AE21" s="365">
        <v>0</v>
      </c>
      <c r="AF21" s="365">
        <v>0</v>
      </c>
      <c r="AG21" s="365">
        <v>0</v>
      </c>
      <c r="AH21" s="364">
        <f t="shared" si="12"/>
        <v>24.14</v>
      </c>
      <c r="AI21" s="414">
        <f>O21+AB21-AH21</f>
        <v>2775.86</v>
      </c>
      <c r="AJ21" s="184"/>
      <c r="AK21" s="226"/>
    </row>
    <row r="22" spans="1:38" s="99" customFormat="1" ht="24" customHeight="1" x14ac:dyDescent="0.25">
      <c r="A22" s="100"/>
      <c r="B22" s="404"/>
      <c r="C22" s="495"/>
      <c r="D22" s="370" t="s">
        <v>111</v>
      </c>
      <c r="E22" s="570"/>
      <c r="F22" s="571"/>
      <c r="G22" s="572"/>
      <c r="H22" s="371">
        <f>SUM(H13:H21)</f>
        <v>26798</v>
      </c>
      <c r="I22" s="371">
        <f t="shared" ref="I22:AF22" si="16">SUM(I13:I20)</f>
        <v>0</v>
      </c>
      <c r="J22" s="364">
        <f t="shared" si="16"/>
        <v>0</v>
      </c>
      <c r="K22" s="371">
        <f t="shared" si="16"/>
        <v>0</v>
      </c>
      <c r="L22" s="364">
        <f t="shared" si="16"/>
        <v>0</v>
      </c>
      <c r="M22" s="371">
        <f t="shared" si="16"/>
        <v>0</v>
      </c>
      <c r="N22" s="364">
        <f t="shared" si="16"/>
        <v>0</v>
      </c>
      <c r="O22" s="371">
        <f>SUM(O13:O21)</f>
        <v>26798</v>
      </c>
      <c r="P22" s="371">
        <f t="shared" si="16"/>
        <v>0</v>
      </c>
      <c r="Q22" s="364">
        <f t="shared" si="16"/>
        <v>0</v>
      </c>
      <c r="R22" s="371">
        <f t="shared" si="16"/>
        <v>23998</v>
      </c>
      <c r="S22" s="371">
        <f t="shared" si="16"/>
        <v>12503.630000000001</v>
      </c>
      <c r="T22" s="371">
        <f t="shared" si="16"/>
        <v>11494.369999999999</v>
      </c>
      <c r="U22" s="371">
        <f t="shared" si="16"/>
        <v>0.7168000000000001</v>
      </c>
      <c r="V22" s="371">
        <f t="shared" si="16"/>
        <v>888.76339199999984</v>
      </c>
      <c r="W22" s="371">
        <f t="shared" si="16"/>
        <v>852.14999999999986</v>
      </c>
      <c r="X22" s="371">
        <f t="shared" si="16"/>
        <v>1740.9133920000002</v>
      </c>
      <c r="Y22" s="371">
        <f t="shared" si="16"/>
        <v>1007.55</v>
      </c>
      <c r="Z22" s="371">
        <f t="shared" si="16"/>
        <v>733.37000000000012</v>
      </c>
      <c r="AA22" s="371">
        <f t="shared" si="16"/>
        <v>0</v>
      </c>
      <c r="AB22" s="371">
        <f>SUM(AB13:AB21)</f>
        <v>286</v>
      </c>
      <c r="AC22" s="371">
        <f>SUM(AC13:AC21)</f>
        <v>1043.51</v>
      </c>
      <c r="AD22" s="371">
        <f t="shared" si="16"/>
        <v>0</v>
      </c>
      <c r="AE22" s="371">
        <f t="shared" si="16"/>
        <v>0</v>
      </c>
      <c r="AF22" s="371">
        <f t="shared" si="16"/>
        <v>0</v>
      </c>
      <c r="AG22" s="371">
        <f>SUM(AG13:AG21)</f>
        <v>0</v>
      </c>
      <c r="AH22" s="371">
        <f>SUM(AH13:AH21)</f>
        <v>1043.51</v>
      </c>
      <c r="AI22" s="415">
        <f>SUM(AI13:AI21)</f>
        <v>26040.49</v>
      </c>
      <c r="AJ22" s="184"/>
      <c r="AK22" s="226"/>
      <c r="AL22" s="99">
        <f>O22+AB22-AC22</f>
        <v>26040.49</v>
      </c>
    </row>
    <row r="23" spans="1:38" ht="21.75" customHeight="1" x14ac:dyDescent="0.25">
      <c r="B23" s="573" t="s">
        <v>193</v>
      </c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  <c r="W23" s="573"/>
      <c r="X23" s="573"/>
      <c r="Y23" s="573"/>
      <c r="Z23" s="573"/>
      <c r="AA23" s="573"/>
      <c r="AB23" s="573"/>
      <c r="AC23" s="573"/>
      <c r="AD23" s="573"/>
      <c r="AE23" s="573"/>
      <c r="AF23" s="573"/>
      <c r="AG23" s="573"/>
      <c r="AH23" s="573"/>
      <c r="AI23" s="573"/>
      <c r="AJ23" s="573"/>
      <c r="AK23" s="225"/>
    </row>
    <row r="24" spans="1:38" ht="26.25" customHeight="1" x14ac:dyDescent="0.25">
      <c r="B24" s="404">
        <v>10</v>
      </c>
      <c r="C24" s="495" t="s">
        <v>397</v>
      </c>
      <c r="D24" s="362" t="s">
        <v>194</v>
      </c>
      <c r="E24" s="369"/>
      <c r="F24" s="362">
        <v>15</v>
      </c>
      <c r="G24" s="363">
        <v>466.66660000000002</v>
      </c>
      <c r="H24" s="364">
        <f t="shared" ref="H24" si="17">ROUND(F24*G24,2)</f>
        <v>7000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4">
        <f>SUM(H24:N24)</f>
        <v>7000</v>
      </c>
      <c r="P24" s="366"/>
      <c r="Q24" s="364">
        <f>IF(G24=47.16,0,IF(G24&gt;47.16,L24*0.5,0))</f>
        <v>0</v>
      </c>
      <c r="R24" s="364">
        <f>H24+I24+J24+M24+Q24+K24</f>
        <v>7000</v>
      </c>
      <c r="S24" s="364">
        <f>VLOOKUP(R24,TARIFA1,1)</f>
        <v>6602.71</v>
      </c>
      <c r="T24" s="364">
        <f>R24-S24</f>
        <v>397.28999999999996</v>
      </c>
      <c r="U24" s="367">
        <f>VLOOKUP(R24,TARIFA1,3)</f>
        <v>0.21360000000000001</v>
      </c>
      <c r="V24" s="364">
        <f>T24*U24</f>
        <v>84.861143999999996</v>
      </c>
      <c r="W24" s="364">
        <f>VLOOKUP(R24,TARIFA1,2)</f>
        <v>699.3</v>
      </c>
      <c r="X24" s="364">
        <f>V24+W24</f>
        <v>784.16114399999992</v>
      </c>
      <c r="Y24" s="364">
        <f>VLOOKUP(R24,Credito1,2)</f>
        <v>0</v>
      </c>
      <c r="Z24" s="364">
        <f>ROUND(X24-Y24,2)</f>
        <v>784.16</v>
      </c>
      <c r="AA24" s="368"/>
      <c r="AB24" s="364">
        <f>-IF(Z24&gt;0,0,Z24)</f>
        <v>0</v>
      </c>
      <c r="AC24" s="364">
        <f>IF(Z24&lt;0,0,Z24)</f>
        <v>784.16</v>
      </c>
      <c r="AD24" s="364">
        <v>0</v>
      </c>
      <c r="AE24" s="365">
        <v>0</v>
      </c>
      <c r="AF24" s="365">
        <v>0</v>
      </c>
      <c r="AG24" s="372">
        <v>0</v>
      </c>
      <c r="AH24" s="364">
        <f>SUM(AC24:AG24)</f>
        <v>784.16</v>
      </c>
      <c r="AI24" s="414">
        <f>O24+AB24-AH24</f>
        <v>6215.84</v>
      </c>
      <c r="AJ24" s="184"/>
      <c r="AK24" s="225"/>
    </row>
    <row r="25" spans="1:38" ht="26.25" customHeight="1" x14ac:dyDescent="0.25">
      <c r="B25" s="404"/>
      <c r="C25" s="495"/>
      <c r="D25" s="370" t="s">
        <v>111</v>
      </c>
      <c r="E25" s="570"/>
      <c r="F25" s="571"/>
      <c r="G25" s="572"/>
      <c r="H25" s="371">
        <f t="shared" ref="H25:AI25" si="18">+H24</f>
        <v>7000</v>
      </c>
      <c r="I25" s="371">
        <f t="shared" si="18"/>
        <v>0</v>
      </c>
      <c r="J25" s="364">
        <f t="shared" si="18"/>
        <v>0</v>
      </c>
      <c r="K25" s="371">
        <f t="shared" si="18"/>
        <v>0</v>
      </c>
      <c r="L25" s="364">
        <f t="shared" si="18"/>
        <v>0</v>
      </c>
      <c r="M25" s="371">
        <f t="shared" si="18"/>
        <v>0</v>
      </c>
      <c r="N25" s="364">
        <f t="shared" si="18"/>
        <v>0</v>
      </c>
      <c r="O25" s="371">
        <f t="shared" si="18"/>
        <v>7000</v>
      </c>
      <c r="P25" s="371">
        <f t="shared" si="18"/>
        <v>0</v>
      </c>
      <c r="Q25" s="364">
        <f t="shared" si="18"/>
        <v>0</v>
      </c>
      <c r="R25" s="371">
        <f t="shared" si="18"/>
        <v>7000</v>
      </c>
      <c r="S25" s="371">
        <f t="shared" si="18"/>
        <v>6602.71</v>
      </c>
      <c r="T25" s="371">
        <f t="shared" si="18"/>
        <v>397.28999999999996</v>
      </c>
      <c r="U25" s="371">
        <f t="shared" si="18"/>
        <v>0.21360000000000001</v>
      </c>
      <c r="V25" s="371">
        <f t="shared" si="18"/>
        <v>84.861143999999996</v>
      </c>
      <c r="W25" s="371">
        <f t="shared" si="18"/>
        <v>699.3</v>
      </c>
      <c r="X25" s="371">
        <f t="shared" si="18"/>
        <v>784.16114399999992</v>
      </c>
      <c r="Y25" s="371">
        <f t="shared" si="18"/>
        <v>0</v>
      </c>
      <c r="Z25" s="371">
        <f t="shared" si="18"/>
        <v>784.16</v>
      </c>
      <c r="AA25" s="371">
        <f t="shared" si="18"/>
        <v>0</v>
      </c>
      <c r="AB25" s="371">
        <f t="shared" si="18"/>
        <v>0</v>
      </c>
      <c r="AC25" s="371">
        <f t="shared" si="18"/>
        <v>784.16</v>
      </c>
      <c r="AD25" s="371">
        <f t="shared" si="18"/>
        <v>0</v>
      </c>
      <c r="AE25" s="371">
        <f t="shared" si="18"/>
        <v>0</v>
      </c>
      <c r="AF25" s="371">
        <f t="shared" si="18"/>
        <v>0</v>
      </c>
      <c r="AG25" s="371">
        <f t="shared" si="18"/>
        <v>0</v>
      </c>
      <c r="AH25" s="371">
        <f t="shared" si="18"/>
        <v>784.16</v>
      </c>
      <c r="AI25" s="415">
        <f t="shared" si="18"/>
        <v>6215.84</v>
      </c>
      <c r="AJ25" s="164"/>
      <c r="AK25" s="225"/>
      <c r="AL25" s="108">
        <f>O25+AB25-AH25</f>
        <v>6215.84</v>
      </c>
    </row>
    <row r="26" spans="1:38" s="99" customFormat="1" ht="24" customHeight="1" x14ac:dyDescent="0.25">
      <c r="A26" s="100"/>
      <c r="B26" s="573" t="s">
        <v>112</v>
      </c>
      <c r="C26" s="573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73"/>
      <c r="AI26" s="573"/>
      <c r="AJ26" s="573"/>
      <c r="AK26" s="226"/>
    </row>
    <row r="27" spans="1:38" s="99" customFormat="1" ht="28.5" customHeight="1" x14ac:dyDescent="0.25">
      <c r="A27" s="100"/>
      <c r="B27" s="404">
        <v>11</v>
      </c>
      <c r="C27" s="495" t="s">
        <v>539</v>
      </c>
      <c r="D27" s="362" t="s">
        <v>140</v>
      </c>
      <c r="E27" s="369"/>
      <c r="F27" s="362">
        <v>15</v>
      </c>
      <c r="G27" s="363">
        <v>271.06659999999999</v>
      </c>
      <c r="H27" s="364">
        <f t="shared" ref="H27:H29" si="19">ROUND(F27*G27,2)</f>
        <v>4066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4">
        <f>SUM(H27:N27)</f>
        <v>4066</v>
      </c>
      <c r="P27" s="366"/>
      <c r="Q27" s="364">
        <f>IF(G27=47.16,0,IF(G27&gt;47.16,L27*0.5,0))</f>
        <v>0</v>
      </c>
      <c r="R27" s="364">
        <f>H27+I27+J27+M27+Q27+K27</f>
        <v>4066</v>
      </c>
      <c r="S27" s="364">
        <f>VLOOKUP(R27,TARIFA1,1)</f>
        <v>2699.41</v>
      </c>
      <c r="T27" s="364">
        <f>R27-S27</f>
        <v>1366.5900000000001</v>
      </c>
      <c r="U27" s="367">
        <f>VLOOKUP(R27,TARIFA1,3)</f>
        <v>0.10879999999999999</v>
      </c>
      <c r="V27" s="364">
        <f>T27*U27</f>
        <v>148.68499199999999</v>
      </c>
      <c r="W27" s="364">
        <f>VLOOKUP(R27,TARIFA1,2)</f>
        <v>158.55000000000001</v>
      </c>
      <c r="X27" s="364">
        <f>V27+W27</f>
        <v>307.23499200000003</v>
      </c>
      <c r="Y27" s="364">
        <f>VLOOKUP(R27,Credito1,2)</f>
        <v>0</v>
      </c>
      <c r="Z27" s="364">
        <f>ROUND(X27-Y27,2)</f>
        <v>307.23</v>
      </c>
      <c r="AA27" s="368"/>
      <c r="AB27" s="364">
        <f>-IF(Z27&gt;0,0,Z27)</f>
        <v>0</v>
      </c>
      <c r="AC27" s="364">
        <f>IF(Z27&lt;0,0,Z27)</f>
        <v>307.23</v>
      </c>
      <c r="AD27" s="364">
        <v>0</v>
      </c>
      <c r="AE27" s="364">
        <v>0</v>
      </c>
      <c r="AF27" s="364">
        <v>0</v>
      </c>
      <c r="AG27" s="372">
        <v>0</v>
      </c>
      <c r="AH27" s="364">
        <f>SUM(AC27:AG27)</f>
        <v>307.23</v>
      </c>
      <c r="AI27" s="414">
        <f>O27+AB27-AH27</f>
        <v>3758.77</v>
      </c>
      <c r="AJ27" s="184"/>
      <c r="AK27" s="226"/>
    </row>
    <row r="28" spans="1:38" s="99" customFormat="1" ht="24" customHeight="1" x14ac:dyDescent="0.25">
      <c r="A28" s="100"/>
      <c r="B28" s="404">
        <v>12</v>
      </c>
      <c r="C28" s="495" t="s">
        <v>370</v>
      </c>
      <c r="D28" s="362" t="s">
        <v>246</v>
      </c>
      <c r="E28" s="369"/>
      <c r="F28" s="362">
        <v>15</v>
      </c>
      <c r="G28" s="363">
        <v>271.06659999999999</v>
      </c>
      <c r="H28" s="364">
        <f t="shared" si="19"/>
        <v>4066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4">
        <f>SUM(H28:N28)</f>
        <v>4066</v>
      </c>
      <c r="P28" s="366"/>
      <c r="Q28" s="364">
        <v>0</v>
      </c>
      <c r="R28" s="364">
        <f>H28+I28+J28+M28+Q28+K28</f>
        <v>4066</v>
      </c>
      <c r="S28" s="364">
        <f>VLOOKUP(R28,TARIFA1,1)</f>
        <v>2699.41</v>
      </c>
      <c r="T28" s="364">
        <f>R28-S28</f>
        <v>1366.5900000000001</v>
      </c>
      <c r="U28" s="367">
        <f>VLOOKUP(R28,TARIFA1,3)</f>
        <v>0.10879999999999999</v>
      </c>
      <c r="V28" s="364">
        <f>T28*U28</f>
        <v>148.68499199999999</v>
      </c>
      <c r="W28" s="364">
        <f>VLOOKUP(R28,TARIFA1,2)</f>
        <v>158.55000000000001</v>
      </c>
      <c r="X28" s="364">
        <f>V28+W28</f>
        <v>307.23499200000003</v>
      </c>
      <c r="Y28" s="364">
        <f>VLOOKUP(R28,Credito1,2)</f>
        <v>0</v>
      </c>
      <c r="Z28" s="364">
        <f>ROUND(X28-Y28,2)</f>
        <v>307.23</v>
      </c>
      <c r="AA28" s="368"/>
      <c r="AB28" s="364">
        <f>-IF(Z28&gt;0,0,Z28)</f>
        <v>0</v>
      </c>
      <c r="AC28" s="364">
        <f>IF(Z28&lt;0,0,Z28)</f>
        <v>307.23</v>
      </c>
      <c r="AD28" s="364">
        <v>0</v>
      </c>
      <c r="AE28" s="365">
        <v>0</v>
      </c>
      <c r="AF28" s="365">
        <v>0</v>
      </c>
      <c r="AG28" s="372">
        <v>0</v>
      </c>
      <c r="AH28" s="364">
        <f>SUM(AC28:AG28)</f>
        <v>307.23</v>
      </c>
      <c r="AI28" s="414">
        <f t="shared" ref="AI28:AI29" si="20">O28+AB28-AH28</f>
        <v>3758.77</v>
      </c>
      <c r="AJ28" s="184"/>
      <c r="AK28" s="226"/>
    </row>
    <row r="29" spans="1:38" s="107" customFormat="1" ht="22.5" customHeight="1" x14ac:dyDescent="0.3">
      <c r="A29" s="106"/>
      <c r="B29" s="404">
        <v>13</v>
      </c>
      <c r="C29" s="495" t="s">
        <v>358</v>
      </c>
      <c r="D29" s="362" t="s">
        <v>247</v>
      </c>
      <c r="E29" s="369"/>
      <c r="F29" s="362">
        <v>15</v>
      </c>
      <c r="G29" s="363">
        <v>271.06659999999999</v>
      </c>
      <c r="H29" s="364">
        <f t="shared" si="19"/>
        <v>4066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4">
        <f>SUM(H29:N29)</f>
        <v>4066</v>
      </c>
      <c r="P29" s="366"/>
      <c r="Q29" s="364">
        <f>IF(G29=47.16,0,IF(G29&gt;47.16,L29*0.5,0))</f>
        <v>0</v>
      </c>
      <c r="R29" s="364">
        <f>H29+I29+J29+M29+Q29+K29</f>
        <v>4066</v>
      </c>
      <c r="S29" s="364">
        <f>VLOOKUP(R29,TARIFA1,1)</f>
        <v>2699.41</v>
      </c>
      <c r="T29" s="364">
        <f>R29-S29</f>
        <v>1366.5900000000001</v>
      </c>
      <c r="U29" s="367">
        <f>VLOOKUP(R29,TARIFA1,3)</f>
        <v>0.10879999999999999</v>
      </c>
      <c r="V29" s="364">
        <f>T29*U29</f>
        <v>148.68499199999999</v>
      </c>
      <c r="W29" s="364">
        <f>VLOOKUP(R29,TARIFA1,2)</f>
        <v>158.55000000000001</v>
      </c>
      <c r="X29" s="364">
        <f>V29+W29</f>
        <v>307.23499200000003</v>
      </c>
      <c r="Y29" s="364">
        <f>VLOOKUP(R29,Credito1,2)</f>
        <v>0</v>
      </c>
      <c r="Z29" s="364">
        <f>ROUND(X29-Y29,2)</f>
        <v>307.23</v>
      </c>
      <c r="AA29" s="368"/>
      <c r="AB29" s="364">
        <f>-IF(Z29&gt;0,0,Z29)</f>
        <v>0</v>
      </c>
      <c r="AC29" s="364">
        <f>IF(Z29&lt;0,0,Z29)</f>
        <v>307.23</v>
      </c>
      <c r="AD29" s="364">
        <v>0</v>
      </c>
      <c r="AE29" s="365">
        <v>0</v>
      </c>
      <c r="AF29" s="365">
        <v>0</v>
      </c>
      <c r="AG29" s="372">
        <v>0</v>
      </c>
      <c r="AH29" s="364">
        <f>SUM(AC29:AG29)</f>
        <v>307.23</v>
      </c>
      <c r="AI29" s="414">
        <f t="shared" si="20"/>
        <v>3758.77</v>
      </c>
      <c r="AJ29" s="184"/>
      <c r="AK29" s="227"/>
    </row>
    <row r="30" spans="1:38" s="99" customFormat="1" ht="22.5" customHeight="1" x14ac:dyDescent="0.25">
      <c r="A30" s="100"/>
      <c r="B30" s="405"/>
      <c r="C30" s="496"/>
      <c r="D30" s="370" t="s">
        <v>111</v>
      </c>
      <c r="E30" s="570"/>
      <c r="F30" s="571"/>
      <c r="G30" s="572"/>
      <c r="H30" s="371">
        <f t="shared" ref="H30:AI30" si="21">SUM(H27:H29)</f>
        <v>12198</v>
      </c>
      <c r="I30" s="371">
        <f t="shared" si="21"/>
        <v>0</v>
      </c>
      <c r="J30" s="364">
        <f t="shared" si="21"/>
        <v>0</v>
      </c>
      <c r="K30" s="371">
        <f t="shared" si="21"/>
        <v>0</v>
      </c>
      <c r="L30" s="364">
        <f t="shared" si="21"/>
        <v>0</v>
      </c>
      <c r="M30" s="371">
        <f t="shared" si="21"/>
        <v>0</v>
      </c>
      <c r="N30" s="364">
        <f t="shared" si="21"/>
        <v>0</v>
      </c>
      <c r="O30" s="371">
        <f t="shared" si="21"/>
        <v>12198</v>
      </c>
      <c r="P30" s="371">
        <f t="shared" si="21"/>
        <v>0</v>
      </c>
      <c r="Q30" s="364">
        <f t="shared" si="21"/>
        <v>0</v>
      </c>
      <c r="R30" s="371">
        <f t="shared" si="21"/>
        <v>12198</v>
      </c>
      <c r="S30" s="371">
        <f t="shared" si="21"/>
        <v>8098.23</v>
      </c>
      <c r="T30" s="371">
        <f t="shared" si="21"/>
        <v>4099.7700000000004</v>
      </c>
      <c r="U30" s="371">
        <f t="shared" si="21"/>
        <v>0.32639999999999997</v>
      </c>
      <c r="V30" s="371">
        <f t="shared" si="21"/>
        <v>446.05497600000001</v>
      </c>
      <c r="W30" s="371">
        <f t="shared" si="21"/>
        <v>475.65000000000003</v>
      </c>
      <c r="X30" s="371">
        <f t="shared" si="21"/>
        <v>921.7049760000001</v>
      </c>
      <c r="Y30" s="371">
        <f t="shared" si="21"/>
        <v>0</v>
      </c>
      <c r="Z30" s="371">
        <f t="shared" si="21"/>
        <v>921.69</v>
      </c>
      <c r="AA30" s="371">
        <f t="shared" si="21"/>
        <v>0</v>
      </c>
      <c r="AB30" s="371">
        <f t="shared" si="21"/>
        <v>0</v>
      </c>
      <c r="AC30" s="371">
        <f t="shared" si="21"/>
        <v>921.69</v>
      </c>
      <c r="AD30" s="371">
        <f t="shared" si="21"/>
        <v>0</v>
      </c>
      <c r="AE30" s="371">
        <f t="shared" si="21"/>
        <v>0</v>
      </c>
      <c r="AF30" s="371">
        <f t="shared" si="21"/>
        <v>0</v>
      </c>
      <c r="AG30" s="371">
        <f t="shared" si="21"/>
        <v>0</v>
      </c>
      <c r="AH30" s="371">
        <f t="shared" si="21"/>
        <v>921.69</v>
      </c>
      <c r="AI30" s="415">
        <f t="shared" si="21"/>
        <v>11276.31</v>
      </c>
      <c r="AJ30" s="234"/>
      <c r="AK30" s="226"/>
      <c r="AL30" s="99">
        <f>O30+AB30-AH30</f>
        <v>11276.31</v>
      </c>
    </row>
    <row r="31" spans="1:38" ht="21" customHeight="1" x14ac:dyDescent="0.25">
      <c r="B31" s="573" t="s">
        <v>114</v>
      </c>
      <c r="C31" s="573"/>
      <c r="D31" s="573"/>
      <c r="E31" s="573"/>
      <c r="F31" s="573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3"/>
      <c r="X31" s="573"/>
      <c r="Y31" s="573"/>
      <c r="Z31" s="573"/>
      <c r="AA31" s="573"/>
      <c r="AB31" s="573"/>
      <c r="AC31" s="573"/>
      <c r="AD31" s="573"/>
      <c r="AE31" s="573"/>
      <c r="AF31" s="573"/>
      <c r="AG31" s="573"/>
      <c r="AH31" s="573"/>
      <c r="AI31" s="573"/>
      <c r="AJ31" s="573"/>
      <c r="AK31" s="225"/>
    </row>
    <row r="32" spans="1:38" ht="24" customHeight="1" x14ac:dyDescent="0.25">
      <c r="B32" s="404">
        <v>14</v>
      </c>
      <c r="C32" s="495" t="s">
        <v>419</v>
      </c>
      <c r="D32" s="362" t="s">
        <v>142</v>
      </c>
      <c r="E32" s="369"/>
      <c r="F32" s="362">
        <v>15</v>
      </c>
      <c r="G32" s="363">
        <v>284.33300000000003</v>
      </c>
      <c r="H32" s="364">
        <f t="shared" ref="H32:H36" si="22">ROUND(F32*G32,2)</f>
        <v>4265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4">
        <v>0</v>
      </c>
      <c r="O32" s="364">
        <f>SUM(H32:N32)</f>
        <v>4265</v>
      </c>
      <c r="P32" s="366"/>
      <c r="Q32" s="364">
        <f>IF(G32=47.16,0,IF(G32&gt;47.16,L32*0.5,0))</f>
        <v>0</v>
      </c>
      <c r="R32" s="364">
        <f>H32+I32+J32+M32+Q32+K32</f>
        <v>4265</v>
      </c>
      <c r="S32" s="364">
        <f>VLOOKUP(R32,TARIFA1,1)</f>
        <v>2699.41</v>
      </c>
      <c r="T32" s="364">
        <f>R32-S32</f>
        <v>1565.5900000000001</v>
      </c>
      <c r="U32" s="367">
        <f>VLOOKUP(R32,TARIFA1,3)</f>
        <v>0.10879999999999999</v>
      </c>
      <c r="V32" s="364">
        <f>T32*U32</f>
        <v>170.33619200000001</v>
      </c>
      <c r="W32" s="364">
        <f>VLOOKUP(R32,TARIFA1,2)</f>
        <v>158.55000000000001</v>
      </c>
      <c r="X32" s="364">
        <f>V32+W32</f>
        <v>328.88619200000005</v>
      </c>
      <c r="Y32" s="364">
        <f>VLOOKUP(R32,Credito1,2)</f>
        <v>0</v>
      </c>
      <c r="Z32" s="364">
        <f>ROUND(X32-Y32,2)</f>
        <v>328.89</v>
      </c>
      <c r="AA32" s="368"/>
      <c r="AB32" s="364">
        <f>-IF(Z32&gt;0,0,Z32)</f>
        <v>0</v>
      </c>
      <c r="AC32" s="364">
        <f>IF(Z32&lt;0,0,Z32)</f>
        <v>328.89</v>
      </c>
      <c r="AD32" s="364">
        <v>0</v>
      </c>
      <c r="AE32" s="364">
        <v>0</v>
      </c>
      <c r="AF32" s="364">
        <v>0</v>
      </c>
      <c r="AG32" s="372">
        <v>0</v>
      </c>
      <c r="AH32" s="364">
        <f>SUM(AC32:AG32)</f>
        <v>328.89</v>
      </c>
      <c r="AI32" s="414">
        <f t="shared" ref="AI32:AI36" si="23">O32+AB32-AH32</f>
        <v>3936.11</v>
      </c>
      <c r="AJ32" s="184"/>
      <c r="AK32" s="225"/>
    </row>
    <row r="33" spans="2:39" ht="24" customHeight="1" x14ac:dyDescent="0.25">
      <c r="B33" s="404">
        <v>15</v>
      </c>
      <c r="C33" s="495" t="s">
        <v>498</v>
      </c>
      <c r="D33" s="362" t="s">
        <v>220</v>
      </c>
      <c r="E33" s="369"/>
      <c r="F33" s="362">
        <v>15</v>
      </c>
      <c r="G33" s="363">
        <v>153.333</v>
      </c>
      <c r="H33" s="364">
        <f t="shared" si="22"/>
        <v>2300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364">
        <v>0</v>
      </c>
      <c r="O33" s="364">
        <f t="shared" ref="O33:O36" si="24">SUM(H33:N33)</f>
        <v>2300</v>
      </c>
      <c r="P33" s="366"/>
      <c r="Q33" s="364">
        <f>IF(G33=47.16,0,IF(G33&gt;47.16,L33*0.5,0))</f>
        <v>0</v>
      </c>
      <c r="R33" s="364">
        <f t="shared" ref="R33:R36" si="25">H33+I33+J33+M33+Q33+K33</f>
        <v>2300</v>
      </c>
      <c r="S33" s="364">
        <f>VLOOKUP(R33,TARIFA1,1)</f>
        <v>318.01</v>
      </c>
      <c r="T33" s="364">
        <f t="shared" ref="T33:T36" si="26">R33-S33</f>
        <v>1981.99</v>
      </c>
      <c r="U33" s="367">
        <f>VLOOKUP(R33,TARIFA1,3)</f>
        <v>6.4000000000000001E-2</v>
      </c>
      <c r="V33" s="364">
        <f t="shared" ref="V33:V36" si="27">T33*U33</f>
        <v>126.84736000000001</v>
      </c>
      <c r="W33" s="364">
        <f>VLOOKUP(R33,TARIFA1,2)</f>
        <v>6.15</v>
      </c>
      <c r="X33" s="364">
        <f t="shared" ref="X33:X36" si="28">V33+W33</f>
        <v>132.99736000000001</v>
      </c>
      <c r="Y33" s="364">
        <f>VLOOKUP(R33,Credito1,2)</f>
        <v>174.75</v>
      </c>
      <c r="Z33" s="364">
        <f t="shared" ref="Z33:Z36" si="29">ROUND(X33-Y33,2)</f>
        <v>-41.75</v>
      </c>
      <c r="AA33" s="368"/>
      <c r="AB33" s="364">
        <f t="shared" ref="AB33:AB36" si="30">-IF(Z33&gt;0,0,Z33)</f>
        <v>41.75</v>
      </c>
      <c r="AC33" s="364">
        <f t="shared" ref="AC33:AC36" si="31">IF(Z33&lt;0,0,Z33)</f>
        <v>0</v>
      </c>
      <c r="AD33" s="364">
        <v>0</v>
      </c>
      <c r="AE33" s="364">
        <v>0</v>
      </c>
      <c r="AF33" s="364">
        <v>0</v>
      </c>
      <c r="AG33" s="372">
        <v>0</v>
      </c>
      <c r="AH33" s="364">
        <f t="shared" ref="AH33:AH36" si="32">SUM(AC33:AG33)</f>
        <v>0</v>
      </c>
      <c r="AI33" s="414">
        <f t="shared" si="23"/>
        <v>2341.75</v>
      </c>
      <c r="AJ33" s="184"/>
      <c r="AK33" s="225"/>
    </row>
    <row r="34" spans="2:39" ht="24" customHeight="1" x14ac:dyDescent="0.25">
      <c r="B34" s="404">
        <v>16</v>
      </c>
      <c r="C34" s="495" t="s">
        <v>470</v>
      </c>
      <c r="D34" s="362" t="s">
        <v>132</v>
      </c>
      <c r="E34" s="362"/>
      <c r="F34" s="362">
        <v>15</v>
      </c>
      <c r="G34" s="363">
        <v>100</v>
      </c>
      <c r="H34" s="364">
        <f t="shared" si="22"/>
        <v>1500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4">
        <v>0</v>
      </c>
      <c r="O34" s="364">
        <f t="shared" si="24"/>
        <v>1500</v>
      </c>
      <c r="P34" s="366"/>
      <c r="Q34" s="364">
        <f>IF(G34=47.16,0,IF(G34&gt;47.16,L34*0.5,0))</f>
        <v>0</v>
      </c>
      <c r="R34" s="364">
        <f t="shared" si="25"/>
        <v>1500</v>
      </c>
      <c r="S34" s="364">
        <f>VLOOKUP(R34,TARIFA1,1)</f>
        <v>318.01</v>
      </c>
      <c r="T34" s="364">
        <f t="shared" si="26"/>
        <v>1181.99</v>
      </c>
      <c r="U34" s="367">
        <f>VLOOKUP(R34,TARIFA1,3)</f>
        <v>6.4000000000000001E-2</v>
      </c>
      <c r="V34" s="364">
        <f t="shared" si="27"/>
        <v>75.647360000000006</v>
      </c>
      <c r="W34" s="364">
        <f>VLOOKUP(R34,TARIFA1,2)</f>
        <v>6.15</v>
      </c>
      <c r="X34" s="364">
        <f t="shared" si="28"/>
        <v>81.797360000000012</v>
      </c>
      <c r="Y34" s="364">
        <f>VLOOKUP(R34,Credito1,2)</f>
        <v>200.7</v>
      </c>
      <c r="Z34" s="364">
        <f t="shared" si="29"/>
        <v>-118.9</v>
      </c>
      <c r="AA34" s="368"/>
      <c r="AB34" s="364">
        <f t="shared" si="30"/>
        <v>118.9</v>
      </c>
      <c r="AC34" s="364">
        <f t="shared" si="31"/>
        <v>0</v>
      </c>
      <c r="AD34" s="364">
        <v>0</v>
      </c>
      <c r="AE34" s="364">
        <v>0</v>
      </c>
      <c r="AF34" s="364">
        <v>0</v>
      </c>
      <c r="AG34" s="372">
        <v>0</v>
      </c>
      <c r="AH34" s="364">
        <f t="shared" si="32"/>
        <v>0</v>
      </c>
      <c r="AI34" s="414">
        <f t="shared" si="23"/>
        <v>1618.9</v>
      </c>
      <c r="AJ34" s="184"/>
      <c r="AK34" s="225"/>
    </row>
    <row r="35" spans="2:39" ht="24" customHeight="1" x14ac:dyDescent="0.25">
      <c r="B35" s="404">
        <v>17</v>
      </c>
      <c r="C35" s="495" t="s">
        <v>388</v>
      </c>
      <c r="D35" s="362" t="s">
        <v>120</v>
      </c>
      <c r="E35" s="369"/>
      <c r="F35" s="362">
        <v>15</v>
      </c>
      <c r="G35" s="363">
        <v>100</v>
      </c>
      <c r="H35" s="364">
        <f t="shared" si="22"/>
        <v>1500</v>
      </c>
      <c r="I35" s="365">
        <v>0</v>
      </c>
      <c r="J35" s="365">
        <v>0</v>
      </c>
      <c r="K35" s="365">
        <v>0</v>
      </c>
      <c r="L35" s="365">
        <v>0</v>
      </c>
      <c r="M35" s="365">
        <v>0</v>
      </c>
      <c r="N35" s="364">
        <v>0</v>
      </c>
      <c r="O35" s="364">
        <f t="shared" si="24"/>
        <v>1500</v>
      </c>
      <c r="P35" s="366"/>
      <c r="Q35" s="364">
        <f>IF(G35=47.16,0,IF(G35&gt;47.16,L35*0.5,0))</f>
        <v>0</v>
      </c>
      <c r="R35" s="364">
        <f t="shared" si="25"/>
        <v>1500</v>
      </c>
      <c r="S35" s="364">
        <f>VLOOKUP(R35,TARIFA1,1)</f>
        <v>318.01</v>
      </c>
      <c r="T35" s="364">
        <f t="shared" si="26"/>
        <v>1181.99</v>
      </c>
      <c r="U35" s="367">
        <f>VLOOKUP(R35,TARIFA1,3)</f>
        <v>6.4000000000000001E-2</v>
      </c>
      <c r="V35" s="364">
        <f t="shared" si="27"/>
        <v>75.647360000000006</v>
      </c>
      <c r="W35" s="364">
        <f>VLOOKUP(R35,TARIFA1,2)</f>
        <v>6.15</v>
      </c>
      <c r="X35" s="364">
        <f t="shared" si="28"/>
        <v>81.797360000000012</v>
      </c>
      <c r="Y35" s="364">
        <f>VLOOKUP(R35,Credito1,2)</f>
        <v>200.7</v>
      </c>
      <c r="Z35" s="364">
        <f t="shared" si="29"/>
        <v>-118.9</v>
      </c>
      <c r="AA35" s="368"/>
      <c r="AB35" s="364">
        <f t="shared" si="30"/>
        <v>118.9</v>
      </c>
      <c r="AC35" s="364">
        <f t="shared" si="31"/>
        <v>0</v>
      </c>
      <c r="AD35" s="364">
        <v>0</v>
      </c>
      <c r="AE35" s="364">
        <v>0</v>
      </c>
      <c r="AF35" s="364">
        <v>0</v>
      </c>
      <c r="AG35" s="372">
        <v>0</v>
      </c>
      <c r="AH35" s="364">
        <f t="shared" si="32"/>
        <v>0</v>
      </c>
      <c r="AI35" s="414">
        <f t="shared" si="23"/>
        <v>1618.9</v>
      </c>
      <c r="AJ35" s="184"/>
      <c r="AK35" s="225"/>
    </row>
    <row r="36" spans="2:39" ht="24" customHeight="1" x14ac:dyDescent="0.25">
      <c r="B36" s="404">
        <v>18</v>
      </c>
      <c r="C36" s="495" t="s">
        <v>502</v>
      </c>
      <c r="D36" s="362" t="s">
        <v>323</v>
      </c>
      <c r="E36" s="369"/>
      <c r="F36" s="373">
        <v>15</v>
      </c>
      <c r="G36" s="374">
        <v>618</v>
      </c>
      <c r="H36" s="364">
        <f t="shared" si="22"/>
        <v>9270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364">
        <v>0</v>
      </c>
      <c r="O36" s="364">
        <f t="shared" si="24"/>
        <v>9270</v>
      </c>
      <c r="P36" s="366"/>
      <c r="Q36" s="364">
        <f>IF(G36=47.16,0,IF(G36&gt;47.16,L36*0.5,0))</f>
        <v>0</v>
      </c>
      <c r="R36" s="364">
        <f t="shared" si="25"/>
        <v>9270</v>
      </c>
      <c r="S36" s="364">
        <f>VLOOKUP(R36,TARIFA1,1)</f>
        <v>6602.71</v>
      </c>
      <c r="T36" s="364">
        <f t="shared" si="26"/>
        <v>2667.29</v>
      </c>
      <c r="U36" s="367">
        <f>VLOOKUP(R36,TARIFA1,3)</f>
        <v>0.21360000000000001</v>
      </c>
      <c r="V36" s="364">
        <f t="shared" si="27"/>
        <v>569.73314400000004</v>
      </c>
      <c r="W36" s="364">
        <f>VLOOKUP(R36,TARIFA1,2)</f>
        <v>699.3</v>
      </c>
      <c r="X36" s="364">
        <f t="shared" si="28"/>
        <v>1269.033144</v>
      </c>
      <c r="Y36" s="364">
        <f>VLOOKUP(R36,Credito1,2)</f>
        <v>0</v>
      </c>
      <c r="Z36" s="364">
        <f t="shared" si="29"/>
        <v>1269.03</v>
      </c>
      <c r="AA36" s="368"/>
      <c r="AB36" s="364">
        <f t="shared" si="30"/>
        <v>0</v>
      </c>
      <c r="AC36" s="364">
        <f t="shared" si="31"/>
        <v>1269.03</v>
      </c>
      <c r="AD36" s="364"/>
      <c r="AE36" s="364"/>
      <c r="AF36" s="364"/>
      <c r="AG36" s="372"/>
      <c r="AH36" s="364">
        <f t="shared" si="32"/>
        <v>1269.03</v>
      </c>
      <c r="AI36" s="414">
        <f t="shared" si="23"/>
        <v>8000.97</v>
      </c>
      <c r="AJ36" s="184"/>
      <c r="AK36" s="225"/>
    </row>
    <row r="37" spans="2:39" ht="24" customHeight="1" x14ac:dyDescent="0.25">
      <c r="B37" s="404"/>
      <c r="C37" s="495"/>
      <c r="D37" s="370" t="s">
        <v>111</v>
      </c>
      <c r="E37" s="570"/>
      <c r="F37" s="571"/>
      <c r="G37" s="572"/>
      <c r="H37" s="371">
        <f>SUM(H32:H36)</f>
        <v>18835</v>
      </c>
      <c r="I37" s="371">
        <f t="shared" ref="I37:AI37" si="33">SUM(I32:I36)</f>
        <v>0</v>
      </c>
      <c r="J37" s="371">
        <f t="shared" si="33"/>
        <v>0</v>
      </c>
      <c r="K37" s="371">
        <f t="shared" si="33"/>
        <v>0</v>
      </c>
      <c r="L37" s="371">
        <f t="shared" si="33"/>
        <v>0</v>
      </c>
      <c r="M37" s="371">
        <f t="shared" si="33"/>
        <v>0</v>
      </c>
      <c r="N37" s="371">
        <f t="shared" si="33"/>
        <v>0</v>
      </c>
      <c r="O37" s="371">
        <f t="shared" si="33"/>
        <v>18835</v>
      </c>
      <c r="P37" s="371">
        <f t="shared" si="33"/>
        <v>0</v>
      </c>
      <c r="Q37" s="364">
        <f t="shared" si="33"/>
        <v>0</v>
      </c>
      <c r="R37" s="371">
        <f t="shared" si="33"/>
        <v>18835</v>
      </c>
      <c r="S37" s="371">
        <f t="shared" si="33"/>
        <v>10256.150000000001</v>
      </c>
      <c r="T37" s="371">
        <f t="shared" si="33"/>
        <v>8578.8499999999985</v>
      </c>
      <c r="U37" s="371">
        <f t="shared" si="33"/>
        <v>0.51439999999999997</v>
      </c>
      <c r="V37" s="371">
        <f t="shared" si="33"/>
        <v>1018.2114160000001</v>
      </c>
      <c r="W37" s="371">
        <f t="shared" si="33"/>
        <v>876.3</v>
      </c>
      <c r="X37" s="371">
        <f t="shared" si="33"/>
        <v>1894.5114160000001</v>
      </c>
      <c r="Y37" s="371">
        <f t="shared" si="33"/>
        <v>576.15</v>
      </c>
      <c r="Z37" s="371">
        <f>SUM(Z32:Z36)</f>
        <v>1318.37</v>
      </c>
      <c r="AA37" s="371">
        <f t="shared" si="33"/>
        <v>0</v>
      </c>
      <c r="AB37" s="371">
        <f t="shared" si="33"/>
        <v>279.55</v>
      </c>
      <c r="AC37" s="371">
        <f t="shared" si="33"/>
        <v>1597.92</v>
      </c>
      <c r="AD37" s="371">
        <f t="shared" si="33"/>
        <v>0</v>
      </c>
      <c r="AE37" s="371">
        <f t="shared" si="33"/>
        <v>0</v>
      </c>
      <c r="AF37" s="371">
        <f t="shared" si="33"/>
        <v>0</v>
      </c>
      <c r="AG37" s="371">
        <f t="shared" si="33"/>
        <v>0</v>
      </c>
      <c r="AH37" s="371">
        <f t="shared" si="33"/>
        <v>1597.92</v>
      </c>
      <c r="AI37" s="415">
        <f t="shared" si="33"/>
        <v>17516.63</v>
      </c>
      <c r="AJ37" s="164"/>
      <c r="AK37" s="225"/>
      <c r="AL37" s="108">
        <f>O37+AB37-AH37</f>
        <v>17516.629999999997</v>
      </c>
    </row>
    <row r="38" spans="2:39" ht="26.25" customHeight="1" x14ac:dyDescent="0.25">
      <c r="B38" s="573" t="s">
        <v>117</v>
      </c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225"/>
    </row>
    <row r="39" spans="2:39" s="134" customFormat="1" ht="26.25" customHeight="1" x14ac:dyDescent="0.3">
      <c r="B39" s="309">
        <v>19</v>
      </c>
      <c r="C39" s="497" t="s">
        <v>436</v>
      </c>
      <c r="D39" s="361" t="s">
        <v>118</v>
      </c>
      <c r="E39" s="361"/>
      <c r="F39" s="361">
        <v>15</v>
      </c>
      <c r="G39" s="361">
        <v>101.4666</v>
      </c>
      <c r="H39" s="364">
        <f t="shared" ref="H39:H45" si="34">ROUND(F39*G39,2)</f>
        <v>1522</v>
      </c>
      <c r="I39" s="361">
        <v>0</v>
      </c>
      <c r="J39" s="361">
        <v>0</v>
      </c>
      <c r="K39" s="361">
        <v>0</v>
      </c>
      <c r="L39" s="361">
        <v>0</v>
      </c>
      <c r="M39" s="361">
        <v>0</v>
      </c>
      <c r="N39" s="361">
        <v>0</v>
      </c>
      <c r="O39" s="364">
        <f t="shared" ref="O39:O45" si="35">SUM(H39:N39)</f>
        <v>1522</v>
      </c>
      <c r="P39" s="361"/>
      <c r="Q39" s="361">
        <v>0</v>
      </c>
      <c r="R39" s="364">
        <f>H39+I39+J39+M39+Q39+K39</f>
        <v>1522</v>
      </c>
      <c r="S39" s="364">
        <f t="shared" ref="S39:S45" si="36">VLOOKUP(R39,TARIFA1,1)</f>
        <v>318.01</v>
      </c>
      <c r="T39" s="364">
        <f>R39-S39</f>
        <v>1203.99</v>
      </c>
      <c r="U39" s="367">
        <f t="shared" ref="U39:U45" si="37">VLOOKUP(R39,TARIFA1,3)</f>
        <v>6.4000000000000001E-2</v>
      </c>
      <c r="V39" s="364">
        <f>T39*U39</f>
        <v>77.055360000000007</v>
      </c>
      <c r="W39" s="364">
        <f t="shared" ref="W39:W45" si="38">VLOOKUP(R39,TARIFA1,2)</f>
        <v>6.15</v>
      </c>
      <c r="X39" s="364">
        <f>V39+W39</f>
        <v>83.205360000000013</v>
      </c>
      <c r="Y39" s="364">
        <f t="shared" ref="Y39:Y45" si="39">VLOOKUP(R39,Credito1,2)</f>
        <v>200.7</v>
      </c>
      <c r="Z39" s="364">
        <f>ROUND(X39-Y39,2)</f>
        <v>-117.49</v>
      </c>
      <c r="AA39" s="361"/>
      <c r="AB39" s="364">
        <f>-IF(Z39&gt;0,0,Z39)</f>
        <v>117.49</v>
      </c>
      <c r="AC39" s="364">
        <f>IF(Z39&lt;0,0,Z39)</f>
        <v>0</v>
      </c>
      <c r="AD39" s="364">
        <v>0</v>
      </c>
      <c r="AE39" s="365">
        <v>0</v>
      </c>
      <c r="AF39" s="365">
        <v>0</v>
      </c>
      <c r="AG39" s="372">
        <v>0</v>
      </c>
      <c r="AH39" s="364">
        <f>SUM(AC39:AG39)</f>
        <v>0</v>
      </c>
      <c r="AI39" s="416">
        <f>O39+AB39-AH39</f>
        <v>1639.49</v>
      </c>
      <c r="AJ39" s="156"/>
      <c r="AK39" s="225"/>
    </row>
    <row r="40" spans="2:39" ht="20.25" customHeight="1" x14ac:dyDescent="0.25">
      <c r="B40" s="404">
        <v>20</v>
      </c>
      <c r="C40" s="495" t="s">
        <v>407</v>
      </c>
      <c r="D40" s="362" t="s">
        <v>118</v>
      </c>
      <c r="E40" s="362"/>
      <c r="F40" s="362">
        <v>15</v>
      </c>
      <c r="G40" s="361">
        <v>101.4666</v>
      </c>
      <c r="H40" s="364">
        <f t="shared" si="34"/>
        <v>1522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4">
        <f t="shared" si="35"/>
        <v>1522</v>
      </c>
      <c r="P40" s="366"/>
      <c r="Q40" s="364">
        <f>IF(G40=47.16,0,IF(G40&gt;47.16,L40*0.5,0))</f>
        <v>0</v>
      </c>
      <c r="R40" s="364">
        <f>H40+I40+J40+M40+Q40+K40</f>
        <v>1522</v>
      </c>
      <c r="S40" s="364">
        <f t="shared" si="36"/>
        <v>318.01</v>
      </c>
      <c r="T40" s="364">
        <f>R40-S40</f>
        <v>1203.99</v>
      </c>
      <c r="U40" s="367">
        <f t="shared" si="37"/>
        <v>6.4000000000000001E-2</v>
      </c>
      <c r="V40" s="364">
        <f>T40*U40</f>
        <v>77.055360000000007</v>
      </c>
      <c r="W40" s="364">
        <f t="shared" si="38"/>
        <v>6.15</v>
      </c>
      <c r="X40" s="364">
        <f>V40+W40</f>
        <v>83.205360000000013</v>
      </c>
      <c r="Y40" s="364">
        <f t="shared" si="39"/>
        <v>200.7</v>
      </c>
      <c r="Z40" s="364">
        <f>ROUND(X40-Y40,2)</f>
        <v>-117.49</v>
      </c>
      <c r="AA40" s="368"/>
      <c r="AB40" s="364">
        <f t="shared" ref="AB40:AB44" si="40">-IF(Z40&gt;0,0,Z40)</f>
        <v>117.49</v>
      </c>
      <c r="AC40" s="364">
        <f>IF(Z40&lt;0,0,Z40)</f>
        <v>0</v>
      </c>
      <c r="AD40" s="364">
        <v>0</v>
      </c>
      <c r="AE40" s="365">
        <v>0</v>
      </c>
      <c r="AF40" s="365">
        <v>0</v>
      </c>
      <c r="AG40" s="372">
        <v>0</v>
      </c>
      <c r="AH40" s="364">
        <f>SUM(AC40:AG40)</f>
        <v>0</v>
      </c>
      <c r="AI40" s="416">
        <f t="shared" ref="AI40:AI45" si="41">O40+AB40-AH40</f>
        <v>1639.49</v>
      </c>
      <c r="AJ40" s="184"/>
      <c r="AK40" s="225"/>
    </row>
    <row r="41" spans="2:39" ht="21" customHeight="1" x14ac:dyDescent="0.25">
      <c r="B41" s="404">
        <v>21</v>
      </c>
      <c r="C41" s="495" t="s">
        <v>540</v>
      </c>
      <c r="D41" s="362" t="s">
        <v>120</v>
      </c>
      <c r="E41" s="362"/>
      <c r="F41" s="362">
        <v>15</v>
      </c>
      <c r="G41" s="363">
        <v>100</v>
      </c>
      <c r="H41" s="364">
        <f t="shared" si="34"/>
        <v>1500</v>
      </c>
      <c r="I41" s="365">
        <v>0</v>
      </c>
      <c r="J41" s="365">
        <v>0</v>
      </c>
      <c r="K41" s="365">
        <v>0</v>
      </c>
      <c r="L41" s="365">
        <v>0</v>
      </c>
      <c r="M41" s="365">
        <v>0</v>
      </c>
      <c r="N41" s="365">
        <v>0</v>
      </c>
      <c r="O41" s="364">
        <f t="shared" si="35"/>
        <v>1500</v>
      </c>
      <c r="P41" s="366"/>
      <c r="Q41" s="364">
        <v>0</v>
      </c>
      <c r="R41" s="364">
        <f t="shared" ref="R41:R44" si="42">H41+I41+J41+M41+Q41+K41</f>
        <v>1500</v>
      </c>
      <c r="S41" s="364">
        <f t="shared" si="36"/>
        <v>318.01</v>
      </c>
      <c r="T41" s="364">
        <f>R41-S41</f>
        <v>1181.99</v>
      </c>
      <c r="U41" s="367">
        <f t="shared" si="37"/>
        <v>6.4000000000000001E-2</v>
      </c>
      <c r="V41" s="364">
        <f>T41*U41</f>
        <v>75.647360000000006</v>
      </c>
      <c r="W41" s="364">
        <f t="shared" si="38"/>
        <v>6.15</v>
      </c>
      <c r="X41" s="364">
        <f>V41+W41</f>
        <v>81.797360000000012</v>
      </c>
      <c r="Y41" s="364">
        <f t="shared" si="39"/>
        <v>200.7</v>
      </c>
      <c r="Z41" s="364">
        <f t="shared" ref="Z41:Z44" si="43">ROUND(X41-Y41,2)</f>
        <v>-118.9</v>
      </c>
      <c r="AA41" s="368"/>
      <c r="AB41" s="364">
        <f t="shared" si="40"/>
        <v>118.9</v>
      </c>
      <c r="AC41" s="364">
        <f>IF(Z41&lt;0,0,Z41)</f>
        <v>0</v>
      </c>
      <c r="AD41" s="364">
        <v>0</v>
      </c>
      <c r="AE41" s="365">
        <v>0</v>
      </c>
      <c r="AF41" s="365">
        <v>0</v>
      </c>
      <c r="AG41" s="372">
        <v>0</v>
      </c>
      <c r="AH41" s="364">
        <f t="shared" ref="AH41:AH44" si="44">SUM(AC41:AG41)</f>
        <v>0</v>
      </c>
      <c r="AI41" s="416">
        <f t="shared" si="41"/>
        <v>1618.9</v>
      </c>
      <c r="AJ41" s="184"/>
      <c r="AK41" s="225"/>
    </row>
    <row r="42" spans="2:39" ht="21" customHeight="1" x14ac:dyDescent="0.25">
      <c r="B42" s="404">
        <v>22</v>
      </c>
      <c r="C42" s="495" t="s">
        <v>489</v>
      </c>
      <c r="D42" s="362" t="s">
        <v>120</v>
      </c>
      <c r="E42" s="362"/>
      <c r="F42" s="362">
        <v>15</v>
      </c>
      <c r="G42" s="363">
        <v>66.666600000000003</v>
      </c>
      <c r="H42" s="364">
        <f t="shared" si="34"/>
        <v>1000</v>
      </c>
      <c r="I42" s="365">
        <v>0</v>
      </c>
      <c r="J42" s="365">
        <v>0</v>
      </c>
      <c r="K42" s="365">
        <v>0</v>
      </c>
      <c r="L42" s="365">
        <v>0</v>
      </c>
      <c r="M42" s="365">
        <v>0</v>
      </c>
      <c r="N42" s="365">
        <v>0</v>
      </c>
      <c r="O42" s="364">
        <f t="shared" si="35"/>
        <v>1000</v>
      </c>
      <c r="P42" s="366"/>
      <c r="Q42" s="364">
        <f>IF(G42=47.16,0,IF(G42&gt;47.16,L42*0.5,0))</f>
        <v>0</v>
      </c>
      <c r="R42" s="364">
        <f t="shared" si="42"/>
        <v>1000</v>
      </c>
      <c r="S42" s="364">
        <f t="shared" si="36"/>
        <v>318.01</v>
      </c>
      <c r="T42" s="364">
        <f>R42-S42</f>
        <v>681.99</v>
      </c>
      <c r="U42" s="367">
        <f t="shared" si="37"/>
        <v>6.4000000000000001E-2</v>
      </c>
      <c r="V42" s="364">
        <f>T42*U42</f>
        <v>43.647359999999999</v>
      </c>
      <c r="W42" s="364">
        <f t="shared" si="38"/>
        <v>6.15</v>
      </c>
      <c r="X42" s="364">
        <f>V42+W42</f>
        <v>49.797359999999998</v>
      </c>
      <c r="Y42" s="364">
        <f t="shared" si="39"/>
        <v>200.7</v>
      </c>
      <c r="Z42" s="364">
        <f t="shared" si="43"/>
        <v>-150.9</v>
      </c>
      <c r="AA42" s="368"/>
      <c r="AB42" s="364">
        <f t="shared" si="40"/>
        <v>150.9</v>
      </c>
      <c r="AC42" s="364">
        <f>IF(Z42&lt;0,0,Z42)</f>
        <v>0</v>
      </c>
      <c r="AD42" s="364">
        <v>0</v>
      </c>
      <c r="AE42" s="365">
        <v>0</v>
      </c>
      <c r="AF42" s="365">
        <v>0</v>
      </c>
      <c r="AG42" s="372">
        <v>0</v>
      </c>
      <c r="AH42" s="364">
        <f t="shared" si="44"/>
        <v>0</v>
      </c>
      <c r="AI42" s="416">
        <f t="shared" si="41"/>
        <v>1150.9000000000001</v>
      </c>
      <c r="AJ42" s="184"/>
      <c r="AK42" s="225"/>
    </row>
    <row r="43" spans="2:39" ht="21" customHeight="1" x14ac:dyDescent="0.25">
      <c r="B43" s="404">
        <v>23</v>
      </c>
      <c r="C43" s="495" t="s">
        <v>447</v>
      </c>
      <c r="D43" s="362" t="s">
        <v>120</v>
      </c>
      <c r="E43" s="362"/>
      <c r="F43" s="362">
        <v>15</v>
      </c>
      <c r="G43" s="363">
        <v>66.666600000000003</v>
      </c>
      <c r="H43" s="364">
        <f t="shared" si="34"/>
        <v>1000</v>
      </c>
      <c r="I43" s="365">
        <v>0</v>
      </c>
      <c r="J43" s="365">
        <v>0</v>
      </c>
      <c r="K43" s="365">
        <v>0</v>
      </c>
      <c r="L43" s="365">
        <v>0</v>
      </c>
      <c r="M43" s="365">
        <v>0</v>
      </c>
      <c r="N43" s="365">
        <v>0</v>
      </c>
      <c r="O43" s="364">
        <f t="shared" si="35"/>
        <v>1000</v>
      </c>
      <c r="P43" s="366"/>
      <c r="Q43" s="364">
        <v>0</v>
      </c>
      <c r="R43" s="364">
        <f t="shared" si="42"/>
        <v>1000</v>
      </c>
      <c r="S43" s="364">
        <f t="shared" si="36"/>
        <v>318.01</v>
      </c>
      <c r="T43" s="364">
        <f t="shared" ref="T43:T44" si="45">R43-S43</f>
        <v>681.99</v>
      </c>
      <c r="U43" s="367">
        <f t="shared" si="37"/>
        <v>6.4000000000000001E-2</v>
      </c>
      <c r="V43" s="364">
        <f t="shared" ref="V43:V44" si="46">T43*U43</f>
        <v>43.647359999999999</v>
      </c>
      <c r="W43" s="364">
        <f t="shared" si="38"/>
        <v>6.15</v>
      </c>
      <c r="X43" s="364">
        <f t="shared" ref="X43:X44" si="47">V43+W43</f>
        <v>49.797359999999998</v>
      </c>
      <c r="Y43" s="364">
        <f t="shared" si="39"/>
        <v>200.7</v>
      </c>
      <c r="Z43" s="364">
        <f t="shared" si="43"/>
        <v>-150.9</v>
      </c>
      <c r="AA43" s="368"/>
      <c r="AB43" s="364">
        <f t="shared" si="40"/>
        <v>150.9</v>
      </c>
      <c r="AC43" s="364">
        <f t="shared" ref="AC43:AC44" si="48">IF(Z43&lt;0,0,Z43)</f>
        <v>0</v>
      </c>
      <c r="AD43" s="364">
        <v>0</v>
      </c>
      <c r="AE43" s="365">
        <v>0</v>
      </c>
      <c r="AF43" s="365">
        <v>0</v>
      </c>
      <c r="AG43" s="372">
        <v>0</v>
      </c>
      <c r="AH43" s="364">
        <f t="shared" si="44"/>
        <v>0</v>
      </c>
      <c r="AI43" s="416">
        <f t="shared" si="41"/>
        <v>1150.9000000000001</v>
      </c>
      <c r="AJ43" s="184"/>
      <c r="AK43" s="225"/>
    </row>
    <row r="44" spans="2:39" ht="21" customHeight="1" x14ac:dyDescent="0.25">
      <c r="B44" s="404">
        <v>24</v>
      </c>
      <c r="C44" s="495" t="s">
        <v>398</v>
      </c>
      <c r="D44" s="362" t="s">
        <v>120</v>
      </c>
      <c r="E44" s="369"/>
      <c r="F44" s="362">
        <v>15</v>
      </c>
      <c r="G44" s="363">
        <v>120</v>
      </c>
      <c r="H44" s="364">
        <f t="shared" si="34"/>
        <v>1800</v>
      </c>
      <c r="I44" s="365">
        <v>0</v>
      </c>
      <c r="J44" s="365">
        <v>0</v>
      </c>
      <c r="K44" s="365">
        <v>0</v>
      </c>
      <c r="L44" s="365">
        <v>0</v>
      </c>
      <c r="M44" s="365">
        <v>0</v>
      </c>
      <c r="N44" s="365">
        <v>0</v>
      </c>
      <c r="O44" s="364">
        <f t="shared" si="35"/>
        <v>1800</v>
      </c>
      <c r="P44" s="366"/>
      <c r="Q44" s="364">
        <v>0</v>
      </c>
      <c r="R44" s="364">
        <f t="shared" si="42"/>
        <v>1800</v>
      </c>
      <c r="S44" s="364">
        <f t="shared" si="36"/>
        <v>318.01</v>
      </c>
      <c r="T44" s="364">
        <f t="shared" si="45"/>
        <v>1481.99</v>
      </c>
      <c r="U44" s="367">
        <f t="shared" si="37"/>
        <v>6.4000000000000001E-2</v>
      </c>
      <c r="V44" s="364">
        <f t="shared" si="46"/>
        <v>94.847360000000009</v>
      </c>
      <c r="W44" s="364">
        <f t="shared" si="38"/>
        <v>6.15</v>
      </c>
      <c r="X44" s="364">
        <f t="shared" si="47"/>
        <v>100.99736000000001</v>
      </c>
      <c r="Y44" s="364">
        <f t="shared" si="39"/>
        <v>188.7</v>
      </c>
      <c r="Z44" s="364">
        <f t="shared" si="43"/>
        <v>-87.7</v>
      </c>
      <c r="AA44" s="368"/>
      <c r="AB44" s="364">
        <f t="shared" si="40"/>
        <v>87.7</v>
      </c>
      <c r="AC44" s="364">
        <f t="shared" si="48"/>
        <v>0</v>
      </c>
      <c r="AD44" s="364">
        <v>0</v>
      </c>
      <c r="AE44" s="365">
        <v>0</v>
      </c>
      <c r="AF44" s="365">
        <v>0</v>
      </c>
      <c r="AG44" s="372">
        <v>0</v>
      </c>
      <c r="AH44" s="364">
        <f t="shared" si="44"/>
        <v>0</v>
      </c>
      <c r="AI44" s="416">
        <f t="shared" si="41"/>
        <v>1887.7</v>
      </c>
      <c r="AJ44" s="184"/>
      <c r="AK44" s="225"/>
    </row>
    <row r="45" spans="2:39" ht="21" customHeight="1" x14ac:dyDescent="0.25">
      <c r="B45" s="404">
        <v>25</v>
      </c>
      <c r="C45" s="495" t="s">
        <v>423</v>
      </c>
      <c r="D45" s="362" t="s">
        <v>132</v>
      </c>
      <c r="E45" s="369"/>
      <c r="F45" s="362">
        <v>15</v>
      </c>
      <c r="G45" s="363">
        <v>108.6</v>
      </c>
      <c r="H45" s="364">
        <f t="shared" si="34"/>
        <v>1629</v>
      </c>
      <c r="I45" s="365">
        <v>0</v>
      </c>
      <c r="J45" s="365">
        <v>0</v>
      </c>
      <c r="K45" s="365">
        <v>0</v>
      </c>
      <c r="L45" s="365">
        <v>0</v>
      </c>
      <c r="M45" s="365">
        <v>0</v>
      </c>
      <c r="N45" s="365">
        <v>0</v>
      </c>
      <c r="O45" s="364">
        <f t="shared" si="35"/>
        <v>1629</v>
      </c>
      <c r="P45" s="366"/>
      <c r="Q45" s="364">
        <f>IF(G45=47.16,0,IF(G45&gt;47.16,L45*0.5,0))</f>
        <v>0</v>
      </c>
      <c r="R45" s="364">
        <f>H45+I45+J45+M45+Q45+K45</f>
        <v>1629</v>
      </c>
      <c r="S45" s="364">
        <f t="shared" si="36"/>
        <v>318.01</v>
      </c>
      <c r="T45" s="364">
        <f>R45-S45</f>
        <v>1310.99</v>
      </c>
      <c r="U45" s="367">
        <f t="shared" si="37"/>
        <v>6.4000000000000001E-2</v>
      </c>
      <c r="V45" s="364">
        <f>T45*U45</f>
        <v>83.903360000000006</v>
      </c>
      <c r="W45" s="364">
        <f t="shared" si="38"/>
        <v>6.15</v>
      </c>
      <c r="X45" s="364">
        <f>V45+W45</f>
        <v>90.053360000000012</v>
      </c>
      <c r="Y45" s="364">
        <f t="shared" si="39"/>
        <v>200.7</v>
      </c>
      <c r="Z45" s="364">
        <f>ROUND(X45-Y45,2)</f>
        <v>-110.65</v>
      </c>
      <c r="AA45" s="368"/>
      <c r="AB45" s="364">
        <f>-IF(Z45&gt;0,0,Z45)</f>
        <v>110.65</v>
      </c>
      <c r="AC45" s="364">
        <f>IF(Z45&lt;0,0,Z45)</f>
        <v>0</v>
      </c>
      <c r="AD45" s="364">
        <v>0</v>
      </c>
      <c r="AE45" s="365">
        <v>0</v>
      </c>
      <c r="AF45" s="365">
        <v>0</v>
      </c>
      <c r="AG45" s="372">
        <v>0</v>
      </c>
      <c r="AH45" s="364">
        <f>SUM(AC45:AG45)</f>
        <v>0</v>
      </c>
      <c r="AI45" s="416">
        <f t="shared" si="41"/>
        <v>1739.65</v>
      </c>
      <c r="AJ45" s="184"/>
      <c r="AK45" s="225"/>
    </row>
    <row r="46" spans="2:39" ht="21" customHeight="1" x14ac:dyDescent="0.25">
      <c r="B46" s="404"/>
      <c r="C46" s="495"/>
      <c r="D46" s="370" t="s">
        <v>111</v>
      </c>
      <c r="E46" s="570"/>
      <c r="F46" s="571"/>
      <c r="G46" s="572"/>
      <c r="H46" s="371">
        <f>SUM(H39:H45)</f>
        <v>9973</v>
      </c>
      <c r="I46" s="371">
        <f t="shared" ref="I46:N46" si="49">SUM(I40:I45)</f>
        <v>0</v>
      </c>
      <c r="J46" s="364">
        <f t="shared" si="49"/>
        <v>0</v>
      </c>
      <c r="K46" s="371">
        <f t="shared" si="49"/>
        <v>0</v>
      </c>
      <c r="L46" s="364">
        <f t="shared" si="49"/>
        <v>0</v>
      </c>
      <c r="M46" s="371">
        <f t="shared" si="49"/>
        <v>0</v>
      </c>
      <c r="N46" s="364">
        <f t="shared" si="49"/>
        <v>0</v>
      </c>
      <c r="O46" s="371">
        <f>SUM(O40,O42,O39,O45,O43,O44,O41)</f>
        <v>9973</v>
      </c>
      <c r="P46" s="371">
        <f t="shared" ref="P46:AF46" si="50">SUM(P40,P42,P39,P45,P43,P44,P41)</f>
        <v>0</v>
      </c>
      <c r="Q46" s="364">
        <f t="shared" si="50"/>
        <v>0</v>
      </c>
      <c r="R46" s="371">
        <f t="shared" si="50"/>
        <v>9973</v>
      </c>
      <c r="S46" s="371">
        <f t="shared" si="50"/>
        <v>2226.0699999999997</v>
      </c>
      <c r="T46" s="371">
        <f t="shared" si="50"/>
        <v>7746.9299999999994</v>
      </c>
      <c r="U46" s="371">
        <f t="shared" si="50"/>
        <v>0.44800000000000001</v>
      </c>
      <c r="V46" s="371">
        <f t="shared" si="50"/>
        <v>495.80351999999999</v>
      </c>
      <c r="W46" s="371">
        <f t="shared" si="50"/>
        <v>43.05</v>
      </c>
      <c r="X46" s="371">
        <f t="shared" si="50"/>
        <v>538.85352</v>
      </c>
      <c r="Y46" s="371">
        <f t="shared" si="50"/>
        <v>1392.9</v>
      </c>
      <c r="Z46" s="371">
        <f t="shared" si="50"/>
        <v>-854.03</v>
      </c>
      <c r="AA46" s="371">
        <f t="shared" si="50"/>
        <v>0</v>
      </c>
      <c r="AB46" s="371">
        <f>SUM(AB40,AB42,AB39,AB45,AB43,AB44,AB41)</f>
        <v>854.03</v>
      </c>
      <c r="AC46" s="371">
        <f>SUM(AC40,AC42,AC39,AC45,AC43,AC44,AC41)</f>
        <v>0</v>
      </c>
      <c r="AD46" s="371">
        <f t="shared" si="50"/>
        <v>0</v>
      </c>
      <c r="AE46" s="371">
        <f t="shared" si="50"/>
        <v>0</v>
      </c>
      <c r="AF46" s="371">
        <f t="shared" si="50"/>
        <v>0</v>
      </c>
      <c r="AG46" s="371">
        <f>SUM(AG40,AG42,AG39,AG45,AG43,AG44,AG41)</f>
        <v>0</v>
      </c>
      <c r="AH46" s="371">
        <f>SUM(AH40,AH42,AH39,AH45,AH43,AH44,AH41)</f>
        <v>0</v>
      </c>
      <c r="AI46" s="415">
        <f>SUM(AI40,AI42,AI39,AI45,AI43,AI44,AI41)</f>
        <v>10827.03</v>
      </c>
      <c r="AJ46" s="164"/>
      <c r="AK46" s="225"/>
      <c r="AL46" s="108">
        <f>O46+AB46-AH46</f>
        <v>10827.03</v>
      </c>
      <c r="AM46" s="135"/>
    </row>
    <row r="47" spans="2:39" ht="27" customHeight="1" x14ac:dyDescent="0.25">
      <c r="B47" s="573" t="s">
        <v>121</v>
      </c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  <c r="AB47" s="573"/>
      <c r="AC47" s="573"/>
      <c r="AD47" s="573"/>
      <c r="AE47" s="573"/>
      <c r="AF47" s="573"/>
      <c r="AG47" s="573"/>
      <c r="AH47" s="573"/>
      <c r="AI47" s="573"/>
      <c r="AJ47" s="573"/>
      <c r="AK47" s="225"/>
    </row>
    <row r="48" spans="2:39" s="146" customFormat="1" ht="22.5" customHeight="1" x14ac:dyDescent="0.25">
      <c r="B48" s="406">
        <v>26</v>
      </c>
      <c r="C48" s="498" t="s">
        <v>347</v>
      </c>
      <c r="D48" s="375" t="s">
        <v>143</v>
      </c>
      <c r="E48" s="376"/>
      <c r="F48" s="375"/>
      <c r="G48" s="377"/>
      <c r="H48" s="378">
        <v>1843</v>
      </c>
      <c r="I48" s="379">
        <v>0</v>
      </c>
      <c r="J48" s="379">
        <v>0</v>
      </c>
      <c r="K48" s="379">
        <v>0</v>
      </c>
      <c r="L48" s="379">
        <v>0</v>
      </c>
      <c r="M48" s="379">
        <v>0</v>
      </c>
      <c r="N48" s="379">
        <v>0</v>
      </c>
      <c r="O48" s="378">
        <v>1843</v>
      </c>
      <c r="P48" s="380"/>
      <c r="Q48" s="378">
        <v>0</v>
      </c>
      <c r="R48" s="378">
        <v>1843</v>
      </c>
      <c r="S48" s="378">
        <v>318.01</v>
      </c>
      <c r="T48" s="378">
        <v>1524.99</v>
      </c>
      <c r="U48" s="381">
        <v>6.4000000000000001E-2</v>
      </c>
      <c r="V48" s="378">
        <v>97.599360000000004</v>
      </c>
      <c r="W48" s="378">
        <v>6.15</v>
      </c>
      <c r="X48" s="378">
        <v>103.74936000000001</v>
      </c>
      <c r="Y48" s="378">
        <v>188.7</v>
      </c>
      <c r="Z48" s="378">
        <v>-84.95</v>
      </c>
      <c r="AA48" s="382"/>
      <c r="AB48" s="378">
        <v>84.95</v>
      </c>
      <c r="AC48" s="378">
        <v>0</v>
      </c>
      <c r="AD48" s="378">
        <v>0</v>
      </c>
      <c r="AE48" s="379">
        <v>0</v>
      </c>
      <c r="AF48" s="379">
        <v>0</v>
      </c>
      <c r="AG48" s="383">
        <v>0</v>
      </c>
      <c r="AH48" s="378">
        <v>0</v>
      </c>
      <c r="AI48" s="417">
        <v>1927.95</v>
      </c>
      <c r="AJ48" s="236"/>
      <c r="AK48" s="237"/>
      <c r="AL48" s="147" t="s">
        <v>318</v>
      </c>
    </row>
    <row r="49" spans="2:38" ht="18" customHeight="1" x14ac:dyDescent="0.25">
      <c r="B49" s="404">
        <v>27</v>
      </c>
      <c r="C49" s="495" t="s">
        <v>457</v>
      </c>
      <c r="D49" s="362" t="s">
        <v>144</v>
      </c>
      <c r="E49" s="369"/>
      <c r="F49" s="362"/>
      <c r="G49" s="363"/>
      <c r="H49" s="364">
        <v>2315</v>
      </c>
      <c r="I49" s="365">
        <v>0</v>
      </c>
      <c r="J49" s="365">
        <v>0</v>
      </c>
      <c r="K49" s="365">
        <v>0</v>
      </c>
      <c r="L49" s="365">
        <v>0</v>
      </c>
      <c r="M49" s="365">
        <v>0</v>
      </c>
      <c r="N49" s="365">
        <v>0</v>
      </c>
      <c r="O49" s="364">
        <v>2315</v>
      </c>
      <c r="P49" s="366"/>
      <c r="Q49" s="364">
        <v>0</v>
      </c>
      <c r="R49" s="364">
        <v>2315</v>
      </c>
      <c r="S49" s="364">
        <v>318.01</v>
      </c>
      <c r="T49" s="364">
        <v>1996.99</v>
      </c>
      <c r="U49" s="367">
        <v>6.4000000000000001E-2</v>
      </c>
      <c r="V49" s="364">
        <v>127.80736</v>
      </c>
      <c r="W49" s="364">
        <v>6.15</v>
      </c>
      <c r="X49" s="364">
        <v>133.95735999999999</v>
      </c>
      <c r="Y49" s="364">
        <v>174.75</v>
      </c>
      <c r="Z49" s="364">
        <v>-40.79</v>
      </c>
      <c r="AA49" s="368"/>
      <c r="AB49" s="364">
        <v>40.79</v>
      </c>
      <c r="AC49" s="364">
        <v>0</v>
      </c>
      <c r="AD49" s="364">
        <v>0</v>
      </c>
      <c r="AE49" s="365">
        <v>0</v>
      </c>
      <c r="AF49" s="365">
        <v>0</v>
      </c>
      <c r="AG49" s="372">
        <v>0</v>
      </c>
      <c r="AH49" s="364">
        <v>0</v>
      </c>
      <c r="AI49" s="414">
        <v>2355.79</v>
      </c>
      <c r="AJ49" s="184"/>
      <c r="AK49" s="225"/>
    </row>
    <row r="50" spans="2:38" ht="18" customHeight="1" x14ac:dyDescent="0.25">
      <c r="B50" s="404">
        <v>28</v>
      </c>
      <c r="C50" s="495" t="s">
        <v>326</v>
      </c>
      <c r="D50" s="362" t="s">
        <v>120</v>
      </c>
      <c r="E50" s="369"/>
      <c r="F50" s="362"/>
      <c r="G50" s="363"/>
      <c r="H50" s="364">
        <v>1500</v>
      </c>
      <c r="I50" s="365">
        <v>0</v>
      </c>
      <c r="J50" s="365">
        <v>0</v>
      </c>
      <c r="K50" s="365">
        <v>0</v>
      </c>
      <c r="L50" s="365">
        <v>0</v>
      </c>
      <c r="M50" s="365">
        <v>0</v>
      </c>
      <c r="N50" s="365">
        <v>0</v>
      </c>
      <c r="O50" s="364">
        <v>1500</v>
      </c>
      <c r="P50" s="366"/>
      <c r="Q50" s="364">
        <v>0</v>
      </c>
      <c r="R50" s="364">
        <v>1500</v>
      </c>
      <c r="S50" s="364">
        <v>318.01</v>
      </c>
      <c r="T50" s="364">
        <v>1181.99</v>
      </c>
      <c r="U50" s="367">
        <v>6.4000000000000001E-2</v>
      </c>
      <c r="V50" s="364">
        <v>75.647360000000006</v>
      </c>
      <c r="W50" s="364">
        <v>6.15</v>
      </c>
      <c r="X50" s="364">
        <v>81.797360000000012</v>
      </c>
      <c r="Y50" s="364">
        <v>200.7</v>
      </c>
      <c r="Z50" s="364">
        <v>-118.9</v>
      </c>
      <c r="AA50" s="368"/>
      <c r="AB50" s="364">
        <v>118.9</v>
      </c>
      <c r="AC50" s="364">
        <v>0</v>
      </c>
      <c r="AD50" s="364">
        <v>0</v>
      </c>
      <c r="AE50" s="365">
        <v>0</v>
      </c>
      <c r="AF50" s="365">
        <v>0</v>
      </c>
      <c r="AG50" s="372">
        <v>0</v>
      </c>
      <c r="AH50" s="364">
        <v>0</v>
      </c>
      <c r="AI50" s="414">
        <v>1618.9</v>
      </c>
      <c r="AJ50" s="184"/>
      <c r="AK50" s="225"/>
    </row>
    <row r="51" spans="2:38" ht="22.5" customHeight="1" x14ac:dyDescent="0.25">
      <c r="B51" s="404">
        <v>29</v>
      </c>
      <c r="C51" s="495" t="s">
        <v>478</v>
      </c>
      <c r="D51" s="362" t="s">
        <v>134</v>
      </c>
      <c r="E51" s="369"/>
      <c r="F51" s="362"/>
      <c r="G51" s="363"/>
      <c r="H51" s="364">
        <v>3185</v>
      </c>
      <c r="I51" s="365">
        <v>0</v>
      </c>
      <c r="J51" s="365">
        <v>0</v>
      </c>
      <c r="K51" s="365">
        <v>0</v>
      </c>
      <c r="L51" s="365">
        <v>0</v>
      </c>
      <c r="M51" s="365">
        <v>0</v>
      </c>
      <c r="N51" s="365">
        <v>0</v>
      </c>
      <c r="O51" s="364">
        <v>3185</v>
      </c>
      <c r="P51" s="366"/>
      <c r="Q51" s="364">
        <v>0</v>
      </c>
      <c r="R51" s="364">
        <v>3185</v>
      </c>
      <c r="S51" s="364">
        <v>2699.41</v>
      </c>
      <c r="T51" s="364">
        <v>485.59000000000015</v>
      </c>
      <c r="U51" s="367">
        <v>0.10879999999999999</v>
      </c>
      <c r="V51" s="364">
        <v>52.832192000000013</v>
      </c>
      <c r="W51" s="364">
        <v>158.55000000000001</v>
      </c>
      <c r="X51" s="364">
        <v>211.38219200000003</v>
      </c>
      <c r="Y51" s="364">
        <v>125.1</v>
      </c>
      <c r="Z51" s="364">
        <v>86.28</v>
      </c>
      <c r="AA51" s="368"/>
      <c r="AB51" s="364">
        <v>0</v>
      </c>
      <c r="AC51" s="364">
        <v>86.28</v>
      </c>
      <c r="AD51" s="364">
        <v>0</v>
      </c>
      <c r="AE51" s="365">
        <v>0</v>
      </c>
      <c r="AF51" s="365">
        <v>0</v>
      </c>
      <c r="AG51" s="372">
        <v>0</v>
      </c>
      <c r="AH51" s="364">
        <v>86.28</v>
      </c>
      <c r="AI51" s="414">
        <v>3098.72</v>
      </c>
      <c r="AJ51" s="184"/>
      <c r="AK51" s="225"/>
    </row>
    <row r="52" spans="2:38" ht="22.5" customHeight="1" x14ac:dyDescent="0.25">
      <c r="B52" s="404">
        <v>30</v>
      </c>
      <c r="C52" s="495" t="s">
        <v>435</v>
      </c>
      <c r="D52" s="362" t="s">
        <v>228</v>
      </c>
      <c r="E52" s="369"/>
      <c r="F52" s="362"/>
      <c r="G52" s="363"/>
      <c r="H52" s="364">
        <v>1835</v>
      </c>
      <c r="I52" s="365">
        <v>0</v>
      </c>
      <c r="J52" s="365">
        <v>0</v>
      </c>
      <c r="K52" s="365">
        <v>0</v>
      </c>
      <c r="L52" s="365">
        <v>0</v>
      </c>
      <c r="M52" s="365">
        <v>0</v>
      </c>
      <c r="N52" s="365">
        <v>0</v>
      </c>
      <c r="O52" s="364">
        <v>1835</v>
      </c>
      <c r="P52" s="366"/>
      <c r="Q52" s="364">
        <v>0</v>
      </c>
      <c r="R52" s="364">
        <v>1835</v>
      </c>
      <c r="S52" s="364">
        <v>318.01</v>
      </c>
      <c r="T52" s="364">
        <v>1516.99</v>
      </c>
      <c r="U52" s="367">
        <v>6.4000000000000001E-2</v>
      </c>
      <c r="V52" s="364">
        <v>97.087360000000004</v>
      </c>
      <c r="W52" s="364">
        <v>6.15</v>
      </c>
      <c r="X52" s="364">
        <v>103.23736000000001</v>
      </c>
      <c r="Y52" s="364">
        <v>188.7</v>
      </c>
      <c r="Z52" s="364">
        <v>-85.46</v>
      </c>
      <c r="AA52" s="368"/>
      <c r="AB52" s="364">
        <v>85.46</v>
      </c>
      <c r="AC52" s="364">
        <v>0</v>
      </c>
      <c r="AD52" s="364">
        <v>0</v>
      </c>
      <c r="AE52" s="365">
        <v>0</v>
      </c>
      <c r="AF52" s="365">
        <v>0</v>
      </c>
      <c r="AG52" s="372">
        <v>0</v>
      </c>
      <c r="AH52" s="364">
        <v>0</v>
      </c>
      <c r="AI52" s="414">
        <v>1920.46</v>
      </c>
      <c r="AJ52" s="184"/>
      <c r="AK52" s="225"/>
    </row>
    <row r="53" spans="2:38" ht="22.5" customHeight="1" x14ac:dyDescent="0.25">
      <c r="B53" s="404">
        <v>31</v>
      </c>
      <c r="C53" s="495" t="s">
        <v>403</v>
      </c>
      <c r="D53" s="362" t="s">
        <v>240</v>
      </c>
      <c r="E53" s="369"/>
      <c r="F53" s="362"/>
      <c r="G53" s="363"/>
      <c r="H53" s="364">
        <v>1835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4">
        <v>1835</v>
      </c>
      <c r="P53" s="366"/>
      <c r="Q53" s="364">
        <v>0</v>
      </c>
      <c r="R53" s="364">
        <v>1835</v>
      </c>
      <c r="S53" s="364">
        <v>318.01</v>
      </c>
      <c r="T53" s="364">
        <v>1516.99</v>
      </c>
      <c r="U53" s="367">
        <v>6.4000000000000001E-2</v>
      </c>
      <c r="V53" s="364">
        <v>97.087360000000004</v>
      </c>
      <c r="W53" s="364">
        <v>6.15</v>
      </c>
      <c r="X53" s="364">
        <v>103.23736000000001</v>
      </c>
      <c r="Y53" s="364">
        <v>188.7</v>
      </c>
      <c r="Z53" s="364">
        <v>-85.46</v>
      </c>
      <c r="AA53" s="368"/>
      <c r="AB53" s="364">
        <v>85.46</v>
      </c>
      <c r="AC53" s="364">
        <v>0</v>
      </c>
      <c r="AD53" s="364">
        <v>0</v>
      </c>
      <c r="AE53" s="365">
        <v>0</v>
      </c>
      <c r="AF53" s="365">
        <v>0</v>
      </c>
      <c r="AG53" s="372">
        <v>0</v>
      </c>
      <c r="AH53" s="364">
        <v>0</v>
      </c>
      <c r="AI53" s="414">
        <v>1920.46</v>
      </c>
      <c r="AJ53" s="184"/>
      <c r="AK53" s="225"/>
    </row>
    <row r="54" spans="2:38" ht="22.5" customHeight="1" x14ac:dyDescent="0.25">
      <c r="B54" s="404">
        <v>32</v>
      </c>
      <c r="C54" s="495" t="s">
        <v>418</v>
      </c>
      <c r="D54" s="362" t="s">
        <v>228</v>
      </c>
      <c r="E54" s="369"/>
      <c r="F54" s="362"/>
      <c r="G54" s="363"/>
      <c r="H54" s="364">
        <v>1908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4">
        <v>1908</v>
      </c>
      <c r="P54" s="366"/>
      <c r="Q54" s="364">
        <v>0</v>
      </c>
      <c r="R54" s="364">
        <v>1908</v>
      </c>
      <c r="S54" s="364">
        <v>318.01</v>
      </c>
      <c r="T54" s="364">
        <v>1589.99</v>
      </c>
      <c r="U54" s="367">
        <v>6.4000000000000001E-2</v>
      </c>
      <c r="V54" s="364">
        <v>101.75936</v>
      </c>
      <c r="W54" s="364">
        <v>6.15</v>
      </c>
      <c r="X54" s="364">
        <v>107.90936000000001</v>
      </c>
      <c r="Y54" s="364">
        <v>188.7</v>
      </c>
      <c r="Z54" s="364">
        <v>-80.790000000000006</v>
      </c>
      <c r="AA54" s="368"/>
      <c r="AB54" s="364">
        <v>80.790000000000006</v>
      </c>
      <c r="AC54" s="364">
        <v>0</v>
      </c>
      <c r="AD54" s="364">
        <v>0</v>
      </c>
      <c r="AE54" s="365">
        <v>0</v>
      </c>
      <c r="AF54" s="365">
        <v>0</v>
      </c>
      <c r="AG54" s="372">
        <v>0</v>
      </c>
      <c r="AH54" s="364">
        <v>0</v>
      </c>
      <c r="AI54" s="414">
        <v>1988.79</v>
      </c>
      <c r="AJ54" s="184"/>
      <c r="AK54" s="225"/>
    </row>
    <row r="55" spans="2:38" ht="22.5" customHeight="1" x14ac:dyDescent="0.25">
      <c r="B55" s="404">
        <v>33</v>
      </c>
      <c r="C55" s="495" t="s">
        <v>366</v>
      </c>
      <c r="D55" s="362" t="s">
        <v>156</v>
      </c>
      <c r="E55" s="369"/>
      <c r="F55" s="362"/>
      <c r="G55" s="363"/>
      <c r="H55" s="364">
        <v>1908</v>
      </c>
      <c r="I55" s="365">
        <v>0</v>
      </c>
      <c r="J55" s="365">
        <v>0</v>
      </c>
      <c r="K55" s="365">
        <v>0</v>
      </c>
      <c r="L55" s="365">
        <v>0</v>
      </c>
      <c r="M55" s="365">
        <v>0</v>
      </c>
      <c r="N55" s="365">
        <v>0</v>
      </c>
      <c r="O55" s="364">
        <v>1908</v>
      </c>
      <c r="P55" s="366"/>
      <c r="Q55" s="364">
        <v>0</v>
      </c>
      <c r="R55" s="364">
        <v>1908</v>
      </c>
      <c r="S55" s="364">
        <v>318.01</v>
      </c>
      <c r="T55" s="364">
        <v>1589.99</v>
      </c>
      <c r="U55" s="367">
        <v>6.4000000000000001E-2</v>
      </c>
      <c r="V55" s="364">
        <v>101.75936</v>
      </c>
      <c r="W55" s="364">
        <v>6.15</v>
      </c>
      <c r="X55" s="364">
        <v>107.90936000000001</v>
      </c>
      <c r="Y55" s="364">
        <v>188.7</v>
      </c>
      <c r="Z55" s="364">
        <v>-80.790000000000006</v>
      </c>
      <c r="AA55" s="368"/>
      <c r="AB55" s="364">
        <v>80.790000000000006</v>
      </c>
      <c r="AC55" s="364">
        <v>0</v>
      </c>
      <c r="AD55" s="364">
        <v>0</v>
      </c>
      <c r="AE55" s="365">
        <v>0</v>
      </c>
      <c r="AF55" s="365">
        <v>0</v>
      </c>
      <c r="AG55" s="372">
        <v>0</v>
      </c>
      <c r="AH55" s="364">
        <v>0</v>
      </c>
      <c r="AI55" s="414">
        <v>1988.79</v>
      </c>
      <c r="AJ55" s="184"/>
      <c r="AK55" s="225"/>
    </row>
    <row r="56" spans="2:38" ht="22.5" customHeight="1" x14ac:dyDescent="0.25">
      <c r="B56" s="404">
        <v>34</v>
      </c>
      <c r="C56" s="495" t="s">
        <v>346</v>
      </c>
      <c r="D56" s="362" t="s">
        <v>228</v>
      </c>
      <c r="E56" s="369"/>
      <c r="F56" s="362"/>
      <c r="G56" s="363"/>
      <c r="H56" s="364">
        <v>1200</v>
      </c>
      <c r="I56" s="365">
        <v>0</v>
      </c>
      <c r="J56" s="365">
        <v>0</v>
      </c>
      <c r="K56" s="365">
        <v>0</v>
      </c>
      <c r="L56" s="365">
        <v>0</v>
      </c>
      <c r="M56" s="365">
        <v>0</v>
      </c>
      <c r="N56" s="365">
        <v>0</v>
      </c>
      <c r="O56" s="364">
        <v>1200</v>
      </c>
      <c r="P56" s="366"/>
      <c r="Q56" s="364">
        <v>0</v>
      </c>
      <c r="R56" s="364">
        <v>1200</v>
      </c>
      <c r="S56" s="364">
        <v>318.01</v>
      </c>
      <c r="T56" s="364">
        <v>881.99</v>
      </c>
      <c r="U56" s="367">
        <v>6.4000000000000001E-2</v>
      </c>
      <c r="V56" s="364">
        <v>56.447360000000003</v>
      </c>
      <c r="W56" s="364">
        <v>6.15</v>
      </c>
      <c r="X56" s="364">
        <v>62.597360000000002</v>
      </c>
      <c r="Y56" s="364">
        <v>200.7</v>
      </c>
      <c r="Z56" s="364">
        <v>-138.1</v>
      </c>
      <c r="AA56" s="368"/>
      <c r="AB56" s="364">
        <v>138.1</v>
      </c>
      <c r="AC56" s="364">
        <v>0</v>
      </c>
      <c r="AD56" s="364">
        <v>0</v>
      </c>
      <c r="AE56" s="365">
        <v>0</v>
      </c>
      <c r="AF56" s="365">
        <v>0</v>
      </c>
      <c r="AG56" s="372">
        <v>0</v>
      </c>
      <c r="AH56" s="364">
        <v>0</v>
      </c>
      <c r="AI56" s="414">
        <v>1338.1</v>
      </c>
      <c r="AJ56" s="184"/>
      <c r="AK56" s="225"/>
    </row>
    <row r="57" spans="2:38" ht="22.5" customHeight="1" x14ac:dyDescent="0.25">
      <c r="B57" s="404">
        <v>35</v>
      </c>
      <c r="C57" s="495" t="s">
        <v>438</v>
      </c>
      <c r="D57" s="362" t="s">
        <v>156</v>
      </c>
      <c r="E57" s="369"/>
      <c r="F57" s="362"/>
      <c r="G57" s="363"/>
      <c r="H57" s="364">
        <v>1835</v>
      </c>
      <c r="I57" s="365">
        <v>0</v>
      </c>
      <c r="J57" s="365">
        <v>0</v>
      </c>
      <c r="K57" s="365">
        <v>0</v>
      </c>
      <c r="L57" s="365">
        <v>0</v>
      </c>
      <c r="M57" s="365">
        <v>0</v>
      </c>
      <c r="N57" s="365">
        <v>0</v>
      </c>
      <c r="O57" s="364">
        <v>1835</v>
      </c>
      <c r="P57" s="366"/>
      <c r="Q57" s="364">
        <v>0</v>
      </c>
      <c r="R57" s="364">
        <v>1835</v>
      </c>
      <c r="S57" s="364">
        <v>318.01</v>
      </c>
      <c r="T57" s="364">
        <v>1516.99</v>
      </c>
      <c r="U57" s="367">
        <v>6.4000000000000001E-2</v>
      </c>
      <c r="V57" s="364">
        <v>97.087360000000004</v>
      </c>
      <c r="W57" s="364">
        <v>6.15</v>
      </c>
      <c r="X57" s="364">
        <v>103.23736000000001</v>
      </c>
      <c r="Y57" s="364">
        <v>188.7</v>
      </c>
      <c r="Z57" s="364">
        <v>-85.46</v>
      </c>
      <c r="AA57" s="368"/>
      <c r="AB57" s="364">
        <v>85.46</v>
      </c>
      <c r="AC57" s="364">
        <v>0</v>
      </c>
      <c r="AD57" s="364">
        <v>0</v>
      </c>
      <c r="AE57" s="365">
        <v>0</v>
      </c>
      <c r="AF57" s="365">
        <v>0</v>
      </c>
      <c r="AG57" s="372">
        <v>0</v>
      </c>
      <c r="AH57" s="364">
        <v>0</v>
      </c>
      <c r="AI57" s="414">
        <v>1920.46</v>
      </c>
      <c r="AJ57" s="184"/>
      <c r="AK57" s="225"/>
    </row>
    <row r="58" spans="2:38" ht="22.5" customHeight="1" x14ac:dyDescent="0.25">
      <c r="B58" s="404">
        <v>36</v>
      </c>
      <c r="C58" s="495" t="s">
        <v>452</v>
      </c>
      <c r="D58" s="362" t="s">
        <v>134</v>
      </c>
      <c r="E58" s="369"/>
      <c r="F58" s="362"/>
      <c r="G58" s="363"/>
      <c r="H58" s="364">
        <v>3185</v>
      </c>
      <c r="I58" s="365">
        <v>0</v>
      </c>
      <c r="J58" s="365">
        <v>0</v>
      </c>
      <c r="K58" s="365">
        <v>0</v>
      </c>
      <c r="L58" s="365">
        <v>0</v>
      </c>
      <c r="M58" s="365">
        <v>0</v>
      </c>
      <c r="N58" s="365">
        <v>0</v>
      </c>
      <c r="O58" s="364">
        <v>3185</v>
      </c>
      <c r="P58" s="366"/>
      <c r="Q58" s="364">
        <v>0</v>
      </c>
      <c r="R58" s="364">
        <v>3185</v>
      </c>
      <c r="S58" s="364">
        <v>2699.41</v>
      </c>
      <c r="T58" s="364">
        <v>485.59000000000015</v>
      </c>
      <c r="U58" s="367">
        <v>0.10879999999999999</v>
      </c>
      <c r="V58" s="364">
        <v>52.832192000000013</v>
      </c>
      <c r="W58" s="364">
        <v>158.55000000000001</v>
      </c>
      <c r="X58" s="364">
        <v>211.38219200000003</v>
      </c>
      <c r="Y58" s="364">
        <v>125.1</v>
      </c>
      <c r="Z58" s="364">
        <v>86.28</v>
      </c>
      <c r="AA58" s="368"/>
      <c r="AB58" s="364">
        <v>0</v>
      </c>
      <c r="AC58" s="364">
        <v>86.28</v>
      </c>
      <c r="AD58" s="364">
        <v>0</v>
      </c>
      <c r="AE58" s="365">
        <v>0</v>
      </c>
      <c r="AF58" s="365">
        <v>0</v>
      </c>
      <c r="AG58" s="372">
        <v>0</v>
      </c>
      <c r="AH58" s="364">
        <v>86.28</v>
      </c>
      <c r="AI58" s="414">
        <v>3098.72</v>
      </c>
      <c r="AJ58" s="184"/>
      <c r="AK58" s="225"/>
    </row>
    <row r="59" spans="2:38" ht="22.5" customHeight="1" x14ac:dyDescent="0.25">
      <c r="B59" s="404">
        <v>37</v>
      </c>
      <c r="C59" s="495" t="s">
        <v>383</v>
      </c>
      <c r="D59" s="362" t="s">
        <v>134</v>
      </c>
      <c r="E59" s="369"/>
      <c r="F59" s="362"/>
      <c r="G59" s="363"/>
      <c r="H59" s="364">
        <v>3185</v>
      </c>
      <c r="I59" s="365">
        <v>0</v>
      </c>
      <c r="J59" s="365">
        <v>0</v>
      </c>
      <c r="K59" s="365">
        <v>0</v>
      </c>
      <c r="L59" s="365">
        <v>0</v>
      </c>
      <c r="M59" s="365">
        <v>0</v>
      </c>
      <c r="N59" s="365">
        <v>0</v>
      </c>
      <c r="O59" s="364">
        <v>3185</v>
      </c>
      <c r="P59" s="366"/>
      <c r="Q59" s="364">
        <v>0</v>
      </c>
      <c r="R59" s="364">
        <v>3185</v>
      </c>
      <c r="S59" s="364">
        <v>2699.41</v>
      </c>
      <c r="T59" s="364">
        <v>485.59000000000015</v>
      </c>
      <c r="U59" s="367">
        <v>0.10879999999999999</v>
      </c>
      <c r="V59" s="364">
        <v>52.832192000000013</v>
      </c>
      <c r="W59" s="364">
        <v>158.55000000000001</v>
      </c>
      <c r="X59" s="364">
        <v>211.38219200000003</v>
      </c>
      <c r="Y59" s="364">
        <v>125.1</v>
      </c>
      <c r="Z59" s="364">
        <v>86.28</v>
      </c>
      <c r="AA59" s="368"/>
      <c r="AB59" s="364">
        <v>0</v>
      </c>
      <c r="AC59" s="364">
        <v>86.28</v>
      </c>
      <c r="AD59" s="364">
        <v>0</v>
      </c>
      <c r="AE59" s="365">
        <v>0</v>
      </c>
      <c r="AF59" s="365">
        <v>0</v>
      </c>
      <c r="AG59" s="372">
        <v>0</v>
      </c>
      <c r="AH59" s="364">
        <v>86.28</v>
      </c>
      <c r="AI59" s="414">
        <v>3098.72</v>
      </c>
      <c r="AJ59" s="184"/>
      <c r="AK59" s="225"/>
    </row>
    <row r="60" spans="2:38" ht="22.5" customHeight="1" x14ac:dyDescent="0.25">
      <c r="B60" s="404">
        <v>38</v>
      </c>
      <c r="C60" s="495" t="s">
        <v>373</v>
      </c>
      <c r="D60" s="362" t="s">
        <v>134</v>
      </c>
      <c r="E60" s="369"/>
      <c r="F60" s="362"/>
      <c r="G60" s="363"/>
      <c r="H60" s="364">
        <v>2548</v>
      </c>
      <c r="I60" s="365">
        <v>0</v>
      </c>
      <c r="J60" s="365">
        <v>0</v>
      </c>
      <c r="K60" s="365">
        <v>0</v>
      </c>
      <c r="L60" s="365">
        <v>0</v>
      </c>
      <c r="M60" s="365">
        <v>0</v>
      </c>
      <c r="N60" s="365">
        <v>0</v>
      </c>
      <c r="O60" s="364">
        <v>2548</v>
      </c>
      <c r="P60" s="366"/>
      <c r="Q60" s="364">
        <v>0</v>
      </c>
      <c r="R60" s="364">
        <v>2548</v>
      </c>
      <c r="S60" s="364">
        <v>318.01</v>
      </c>
      <c r="T60" s="364">
        <v>2229.9899999999998</v>
      </c>
      <c r="U60" s="367">
        <v>6.4000000000000001E-2</v>
      </c>
      <c r="V60" s="364">
        <v>142.71935999999999</v>
      </c>
      <c r="W60" s="364">
        <v>6.15</v>
      </c>
      <c r="X60" s="364">
        <v>148.86936</v>
      </c>
      <c r="Y60" s="364">
        <v>160.35</v>
      </c>
      <c r="Z60" s="364">
        <v>-11.48</v>
      </c>
      <c r="AA60" s="368"/>
      <c r="AB60" s="364">
        <v>11.48</v>
      </c>
      <c r="AC60" s="364">
        <v>0</v>
      </c>
      <c r="AD60" s="364">
        <v>0</v>
      </c>
      <c r="AE60" s="365">
        <v>0</v>
      </c>
      <c r="AF60" s="365">
        <v>0</v>
      </c>
      <c r="AG60" s="372">
        <v>0</v>
      </c>
      <c r="AH60" s="364">
        <v>0</v>
      </c>
      <c r="AI60" s="414">
        <v>2559.48</v>
      </c>
      <c r="AJ60" s="184"/>
      <c r="AK60" s="225"/>
    </row>
    <row r="61" spans="2:38" ht="22.5" customHeight="1" x14ac:dyDescent="0.25">
      <c r="B61" s="404"/>
      <c r="C61" s="495"/>
      <c r="D61" s="370" t="s">
        <v>111</v>
      </c>
      <c r="E61" s="570"/>
      <c r="F61" s="571"/>
      <c r="G61" s="572"/>
      <c r="H61" s="371">
        <v>28282</v>
      </c>
      <c r="I61" s="371">
        <v>0</v>
      </c>
      <c r="J61" s="364">
        <v>0</v>
      </c>
      <c r="K61" s="371">
        <v>0</v>
      </c>
      <c r="L61" s="364">
        <v>0</v>
      </c>
      <c r="M61" s="371">
        <v>0</v>
      </c>
      <c r="N61" s="364">
        <v>0</v>
      </c>
      <c r="O61" s="371">
        <v>28282</v>
      </c>
      <c r="P61" s="371">
        <v>0</v>
      </c>
      <c r="Q61" s="364">
        <v>0</v>
      </c>
      <c r="R61" s="371">
        <v>28282</v>
      </c>
      <c r="S61" s="371">
        <v>11278.33</v>
      </c>
      <c r="T61" s="371">
        <v>17003.669999999998</v>
      </c>
      <c r="U61" s="371">
        <v>0.96640000000000015</v>
      </c>
      <c r="V61" s="371">
        <v>1153.4981760000001</v>
      </c>
      <c r="W61" s="371">
        <v>537.15</v>
      </c>
      <c r="X61" s="371">
        <v>1690.6481759999999</v>
      </c>
      <c r="Y61" s="371">
        <v>2244</v>
      </c>
      <c r="Z61" s="371">
        <v>-553.34000000000015</v>
      </c>
      <c r="AA61" s="371"/>
      <c r="AB61" s="371">
        <v>812.18000000000006</v>
      </c>
      <c r="AC61" s="371">
        <v>258.84000000000003</v>
      </c>
      <c r="AD61" s="371">
        <v>0</v>
      </c>
      <c r="AE61" s="371">
        <v>0</v>
      </c>
      <c r="AF61" s="371">
        <v>0</v>
      </c>
      <c r="AG61" s="371">
        <v>0</v>
      </c>
      <c r="AH61" s="371">
        <v>258.84000000000003</v>
      </c>
      <c r="AI61" s="415">
        <v>28835.34</v>
      </c>
      <c r="AJ61" s="184"/>
      <c r="AK61" s="225"/>
      <c r="AL61" s="108">
        <f>O61+AB61-AH61</f>
        <v>28835.34</v>
      </c>
    </row>
    <row r="62" spans="2:38" ht="27.75" customHeight="1" x14ac:dyDescent="0.25">
      <c r="B62" s="573" t="s">
        <v>122</v>
      </c>
      <c r="C62" s="573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  <c r="W62" s="573"/>
      <c r="X62" s="573"/>
      <c r="Y62" s="573"/>
      <c r="Z62" s="573"/>
      <c r="AA62" s="573"/>
      <c r="AB62" s="573"/>
      <c r="AC62" s="573"/>
      <c r="AD62" s="573"/>
      <c r="AE62" s="573"/>
      <c r="AF62" s="573"/>
      <c r="AG62" s="573"/>
      <c r="AH62" s="573"/>
      <c r="AI62" s="573"/>
      <c r="AJ62" s="573"/>
      <c r="AK62" s="225"/>
    </row>
    <row r="63" spans="2:38" ht="22.5" customHeight="1" x14ac:dyDescent="0.25">
      <c r="B63" s="404">
        <v>39</v>
      </c>
      <c r="C63" s="497" t="s">
        <v>484</v>
      </c>
      <c r="D63" s="362" t="s">
        <v>118</v>
      </c>
      <c r="E63" s="362"/>
      <c r="F63" s="362">
        <v>15</v>
      </c>
      <c r="G63" s="363">
        <v>166.66659999999999</v>
      </c>
      <c r="H63" s="364">
        <f t="shared" ref="H63:H67" si="51">ROUND(F63*G63,2)</f>
        <v>2500</v>
      </c>
      <c r="I63" s="371">
        <v>0</v>
      </c>
      <c r="J63" s="364">
        <v>0</v>
      </c>
      <c r="K63" s="371">
        <v>0</v>
      </c>
      <c r="L63" s="364">
        <v>0</v>
      </c>
      <c r="M63" s="371">
        <v>0</v>
      </c>
      <c r="N63" s="364">
        <v>0</v>
      </c>
      <c r="O63" s="364">
        <f>SUM(H63:N63)</f>
        <v>2500</v>
      </c>
      <c r="P63" s="371"/>
      <c r="Q63" s="364"/>
      <c r="R63" s="364">
        <f>H63+I63+J63+M63+Q63+K63</f>
        <v>2500</v>
      </c>
      <c r="S63" s="364">
        <f>VLOOKUP(R63,TARIFA1,1)</f>
        <v>318.01</v>
      </c>
      <c r="T63" s="364">
        <f>R63-S63</f>
        <v>2181.9899999999998</v>
      </c>
      <c r="U63" s="367">
        <f>VLOOKUP(R63,TARIFA1,3)</f>
        <v>6.4000000000000001E-2</v>
      </c>
      <c r="V63" s="364">
        <f>T63*U63</f>
        <v>139.64735999999999</v>
      </c>
      <c r="W63" s="364">
        <f>VLOOKUP(R63,TARIFA1,2)</f>
        <v>6.15</v>
      </c>
      <c r="X63" s="364">
        <f>V63+W63</f>
        <v>145.79736</v>
      </c>
      <c r="Y63" s="364">
        <f>VLOOKUP(R63,Credito1,2)</f>
        <v>160.35</v>
      </c>
      <c r="Z63" s="364">
        <f>ROUND(X63-Y63,2)</f>
        <v>-14.55</v>
      </c>
      <c r="AA63" s="371"/>
      <c r="AB63" s="364">
        <f>-IF(Z63&gt;0,0,Z63)</f>
        <v>14.55</v>
      </c>
      <c r="AC63" s="364">
        <f>IF(Z63&lt;0,0,Z63)</f>
        <v>0</v>
      </c>
      <c r="AD63" s="364">
        <v>0</v>
      </c>
      <c r="AE63" s="364">
        <v>0</v>
      </c>
      <c r="AF63" s="364">
        <v>0</v>
      </c>
      <c r="AG63" s="372">
        <v>0</v>
      </c>
      <c r="AH63" s="364">
        <f>SUM(AC63:AG63)</f>
        <v>0</v>
      </c>
      <c r="AI63" s="414">
        <f>O63+AB63-AH63</f>
        <v>2514.5500000000002</v>
      </c>
      <c r="AJ63" s="184"/>
      <c r="AK63" s="225"/>
    </row>
    <row r="64" spans="2:38" ht="24" customHeight="1" x14ac:dyDescent="0.25">
      <c r="B64" s="404">
        <v>40</v>
      </c>
      <c r="C64" s="495" t="s">
        <v>499</v>
      </c>
      <c r="D64" s="362" t="s">
        <v>159</v>
      </c>
      <c r="E64" s="369"/>
      <c r="F64" s="362">
        <v>15</v>
      </c>
      <c r="G64" s="363">
        <v>129.733</v>
      </c>
      <c r="H64" s="364">
        <f t="shared" si="51"/>
        <v>1946</v>
      </c>
      <c r="I64" s="365">
        <v>0</v>
      </c>
      <c r="J64" s="365">
        <v>0</v>
      </c>
      <c r="K64" s="365">
        <v>0</v>
      </c>
      <c r="L64" s="365">
        <v>0</v>
      </c>
      <c r="M64" s="365">
        <v>0</v>
      </c>
      <c r="N64" s="365">
        <v>0</v>
      </c>
      <c r="O64" s="364">
        <f>SUM(H64:N64)</f>
        <v>1946</v>
      </c>
      <c r="P64" s="366"/>
      <c r="Q64" s="364">
        <f>IF(G64=47.16,0,IF(G64&gt;47.16,L64*0.5,0))</f>
        <v>0</v>
      </c>
      <c r="R64" s="364">
        <f>H64+I64+J64+M64+Q64+K64</f>
        <v>1946</v>
      </c>
      <c r="S64" s="364">
        <f>VLOOKUP(R64,TARIFA1,1)</f>
        <v>318.01</v>
      </c>
      <c r="T64" s="364">
        <f>R64-S64</f>
        <v>1627.99</v>
      </c>
      <c r="U64" s="367">
        <f>VLOOKUP(R64,TARIFA1,3)</f>
        <v>6.4000000000000001E-2</v>
      </c>
      <c r="V64" s="364">
        <f>T64*U64</f>
        <v>104.19136</v>
      </c>
      <c r="W64" s="364">
        <f>VLOOKUP(R64,TARIFA1,2)</f>
        <v>6.15</v>
      </c>
      <c r="X64" s="364">
        <f>V64+W64</f>
        <v>110.34136000000001</v>
      </c>
      <c r="Y64" s="364">
        <f>VLOOKUP(R64,Credito1,2)</f>
        <v>188.7</v>
      </c>
      <c r="Z64" s="364">
        <f>ROUND(X64-Y64,2)</f>
        <v>-78.36</v>
      </c>
      <c r="AA64" s="368"/>
      <c r="AB64" s="364">
        <f>-IF(Z64&gt;0,0,Z64)</f>
        <v>78.36</v>
      </c>
      <c r="AC64" s="364">
        <f>IF(Z64&lt;0,0,Z64)</f>
        <v>0</v>
      </c>
      <c r="AD64" s="364">
        <v>0</v>
      </c>
      <c r="AE64" s="365">
        <v>0</v>
      </c>
      <c r="AF64" s="365">
        <v>0</v>
      </c>
      <c r="AG64" s="372">
        <v>0</v>
      </c>
      <c r="AH64" s="364">
        <f>SUM(AC64:AG64)</f>
        <v>0</v>
      </c>
      <c r="AI64" s="414">
        <f t="shared" ref="AI64:AI67" si="52">O64+AB64-AH64</f>
        <v>2024.36</v>
      </c>
      <c r="AJ64" s="184"/>
      <c r="AK64" s="225"/>
    </row>
    <row r="65" spans="2:38" ht="24" customHeight="1" x14ac:dyDescent="0.25">
      <c r="B65" s="404">
        <v>41</v>
      </c>
      <c r="C65" s="495" t="s">
        <v>367</v>
      </c>
      <c r="D65" s="362" t="s">
        <v>147</v>
      </c>
      <c r="E65" s="369"/>
      <c r="F65" s="362">
        <v>15</v>
      </c>
      <c r="G65" s="363">
        <v>179.13300000000001</v>
      </c>
      <c r="H65" s="364">
        <f t="shared" si="51"/>
        <v>2687</v>
      </c>
      <c r="I65" s="365">
        <v>0</v>
      </c>
      <c r="J65" s="365">
        <v>0</v>
      </c>
      <c r="K65" s="365">
        <v>0</v>
      </c>
      <c r="L65" s="365">
        <v>0</v>
      </c>
      <c r="M65" s="365">
        <v>0</v>
      </c>
      <c r="N65" s="365">
        <v>0</v>
      </c>
      <c r="O65" s="364">
        <f t="shared" ref="O65:O67" si="53">SUM(H65:N65)</f>
        <v>2687</v>
      </c>
      <c r="P65" s="366"/>
      <c r="Q65" s="364">
        <f>IF(G65=47.16,0,IF(G65&gt;47.16,L65*0.5,0))</f>
        <v>0</v>
      </c>
      <c r="R65" s="364">
        <f>H65+I65+J65+M65+Q65+K65</f>
        <v>2687</v>
      </c>
      <c r="S65" s="364">
        <f>VLOOKUP(R65,TARIFA1,1)</f>
        <v>318.01</v>
      </c>
      <c r="T65" s="364">
        <f>R65-S65</f>
        <v>2368.9899999999998</v>
      </c>
      <c r="U65" s="367">
        <f>VLOOKUP(R65,TARIFA1,3)</f>
        <v>6.4000000000000001E-2</v>
      </c>
      <c r="V65" s="364">
        <f>T65*U65</f>
        <v>151.61535999999998</v>
      </c>
      <c r="W65" s="364">
        <f>VLOOKUP(R65,TARIFA1,2)</f>
        <v>6.15</v>
      </c>
      <c r="X65" s="364">
        <f>V65+W65</f>
        <v>157.76535999999999</v>
      </c>
      <c r="Y65" s="364">
        <f>VLOOKUP(R65,Credito1,2)</f>
        <v>145.35</v>
      </c>
      <c r="Z65" s="364">
        <f>ROUND(X65-Y65,2)</f>
        <v>12.42</v>
      </c>
      <c r="AA65" s="368"/>
      <c r="AB65" s="364">
        <f>-IF(Z65&gt;0,0,Z65)</f>
        <v>0</v>
      </c>
      <c r="AC65" s="364">
        <f>IF(Z65&lt;0,0,Z65)</f>
        <v>12.42</v>
      </c>
      <c r="AD65" s="364">
        <v>0</v>
      </c>
      <c r="AE65" s="364">
        <v>0</v>
      </c>
      <c r="AF65" s="364">
        <v>0</v>
      </c>
      <c r="AG65" s="372">
        <v>0</v>
      </c>
      <c r="AH65" s="364">
        <f>SUM(AC65:AG65)</f>
        <v>12.42</v>
      </c>
      <c r="AI65" s="414">
        <f t="shared" si="52"/>
        <v>2674.58</v>
      </c>
      <c r="AJ65" s="184"/>
      <c r="AK65" s="225"/>
    </row>
    <row r="66" spans="2:38" ht="24" customHeight="1" x14ac:dyDescent="0.25">
      <c r="B66" s="404">
        <v>42</v>
      </c>
      <c r="C66" s="495" t="s">
        <v>334</v>
      </c>
      <c r="D66" s="362" t="s">
        <v>147</v>
      </c>
      <c r="E66" s="369"/>
      <c r="F66" s="362">
        <v>15</v>
      </c>
      <c r="G66" s="363">
        <v>179.13300000000001</v>
      </c>
      <c r="H66" s="364">
        <f t="shared" si="51"/>
        <v>2687</v>
      </c>
      <c r="I66" s="365">
        <v>0</v>
      </c>
      <c r="J66" s="365">
        <v>0</v>
      </c>
      <c r="K66" s="365">
        <v>0</v>
      </c>
      <c r="L66" s="365">
        <v>0</v>
      </c>
      <c r="M66" s="365">
        <v>0</v>
      </c>
      <c r="N66" s="365">
        <v>0</v>
      </c>
      <c r="O66" s="364">
        <f t="shared" si="53"/>
        <v>2687</v>
      </c>
      <c r="P66" s="366"/>
      <c r="Q66" s="364">
        <v>0</v>
      </c>
      <c r="R66" s="364">
        <f>H66+I66+J66+M66+Q66+K66</f>
        <v>2687</v>
      </c>
      <c r="S66" s="364">
        <f>VLOOKUP(R66,TARIFA1,1)</f>
        <v>318.01</v>
      </c>
      <c r="T66" s="364">
        <f>R66-S66</f>
        <v>2368.9899999999998</v>
      </c>
      <c r="U66" s="367">
        <f>VLOOKUP(R66,TARIFA1,3)</f>
        <v>6.4000000000000001E-2</v>
      </c>
      <c r="V66" s="364">
        <f>T66*U66</f>
        <v>151.61535999999998</v>
      </c>
      <c r="W66" s="364">
        <f>VLOOKUP(R66,TARIFA1,2)</f>
        <v>6.15</v>
      </c>
      <c r="X66" s="364">
        <f>V66+W66</f>
        <v>157.76535999999999</v>
      </c>
      <c r="Y66" s="364">
        <f>VLOOKUP(R66,Credito1,2)</f>
        <v>145.35</v>
      </c>
      <c r="Z66" s="364">
        <f>ROUND(X66-Y66,2)</f>
        <v>12.42</v>
      </c>
      <c r="AA66" s="368"/>
      <c r="AB66" s="364">
        <f>-IF(Z66&gt;0,0,Z66)</f>
        <v>0</v>
      </c>
      <c r="AC66" s="364">
        <f>IF(Z66&lt;0,0,Z66)</f>
        <v>12.42</v>
      </c>
      <c r="AD66" s="364">
        <v>0</v>
      </c>
      <c r="AE66" s="364">
        <v>0</v>
      </c>
      <c r="AF66" s="364">
        <v>0</v>
      </c>
      <c r="AG66" s="372">
        <v>0</v>
      </c>
      <c r="AH66" s="364">
        <f>SUM(AC66:AG66)</f>
        <v>12.42</v>
      </c>
      <c r="AI66" s="414">
        <f t="shared" si="52"/>
        <v>2674.58</v>
      </c>
      <c r="AJ66" s="184"/>
      <c r="AK66" s="225"/>
    </row>
    <row r="67" spans="2:38" ht="24" customHeight="1" x14ac:dyDescent="0.25">
      <c r="B67" s="404">
        <v>43</v>
      </c>
      <c r="C67" s="495" t="s">
        <v>487</v>
      </c>
      <c r="D67" s="362" t="s">
        <v>147</v>
      </c>
      <c r="E67" s="369"/>
      <c r="F67" s="362">
        <v>15</v>
      </c>
      <c r="G67" s="363">
        <v>179.13300000000001</v>
      </c>
      <c r="H67" s="364">
        <f t="shared" si="51"/>
        <v>2687</v>
      </c>
      <c r="I67" s="365">
        <v>0</v>
      </c>
      <c r="J67" s="365">
        <v>0</v>
      </c>
      <c r="K67" s="365">
        <v>0</v>
      </c>
      <c r="L67" s="365">
        <v>0</v>
      </c>
      <c r="M67" s="365">
        <v>0</v>
      </c>
      <c r="N67" s="365">
        <v>0</v>
      </c>
      <c r="O67" s="364">
        <f t="shared" si="53"/>
        <v>2687</v>
      </c>
      <c r="P67" s="366"/>
      <c r="Q67" s="364">
        <f>IF(G67=47.16,0,IF(G67&gt;47.16,L67*0.5,0))</f>
        <v>0</v>
      </c>
      <c r="R67" s="364">
        <f>H67+I67+J67+M67+Q67+K67</f>
        <v>2687</v>
      </c>
      <c r="S67" s="364">
        <f>VLOOKUP(R67,TARIFA1,1)</f>
        <v>318.01</v>
      </c>
      <c r="T67" s="364">
        <f>R67-S67</f>
        <v>2368.9899999999998</v>
      </c>
      <c r="U67" s="367">
        <f>VLOOKUP(R67,TARIFA1,3)</f>
        <v>6.4000000000000001E-2</v>
      </c>
      <c r="V67" s="364">
        <f>T67*U67</f>
        <v>151.61535999999998</v>
      </c>
      <c r="W67" s="364">
        <f>VLOOKUP(R67,TARIFA1,2)</f>
        <v>6.15</v>
      </c>
      <c r="X67" s="364">
        <f>V67+W67</f>
        <v>157.76535999999999</v>
      </c>
      <c r="Y67" s="364">
        <f>VLOOKUP(R67,Credito1,2)</f>
        <v>145.35</v>
      </c>
      <c r="Z67" s="364">
        <f>ROUND(X67-Y67,2)</f>
        <v>12.42</v>
      </c>
      <c r="AA67" s="368"/>
      <c r="AB67" s="364">
        <f>-IF(Z67&gt;0,0,Z67)</f>
        <v>0</v>
      </c>
      <c r="AC67" s="364">
        <f>IF(Z67&lt;0,0,Z67)</f>
        <v>12.42</v>
      </c>
      <c r="AD67" s="364">
        <v>0</v>
      </c>
      <c r="AE67" s="365">
        <v>0</v>
      </c>
      <c r="AF67" s="365">
        <v>0</v>
      </c>
      <c r="AG67" s="372">
        <v>0</v>
      </c>
      <c r="AH67" s="364">
        <f>SUM(AC67:AG67)</f>
        <v>12.42</v>
      </c>
      <c r="AI67" s="414">
        <f t="shared" si="52"/>
        <v>2674.58</v>
      </c>
      <c r="AJ67" s="184"/>
      <c r="AK67" s="225"/>
    </row>
    <row r="68" spans="2:38" ht="24" customHeight="1" x14ac:dyDescent="0.25">
      <c r="B68" s="404"/>
      <c r="C68" s="495"/>
      <c r="D68" s="370" t="s">
        <v>111</v>
      </c>
      <c r="E68" s="570"/>
      <c r="F68" s="571"/>
      <c r="G68" s="572"/>
      <c r="H68" s="371">
        <f>SUM(H63:H67)</f>
        <v>12507</v>
      </c>
      <c r="I68" s="371">
        <f t="shared" ref="I68:AF68" si="54">SUM(I64:I67)</f>
        <v>0</v>
      </c>
      <c r="J68" s="364">
        <f t="shared" si="54"/>
        <v>0</v>
      </c>
      <c r="K68" s="371">
        <f t="shared" si="54"/>
        <v>0</v>
      </c>
      <c r="L68" s="364">
        <f t="shared" si="54"/>
        <v>0</v>
      </c>
      <c r="M68" s="371">
        <f t="shared" si="54"/>
        <v>0</v>
      </c>
      <c r="N68" s="364">
        <f t="shared" si="54"/>
        <v>0</v>
      </c>
      <c r="O68" s="371">
        <f>SUM(O63:O67)</f>
        <v>12507</v>
      </c>
      <c r="P68" s="371">
        <f t="shared" si="54"/>
        <v>0</v>
      </c>
      <c r="Q68" s="364">
        <f t="shared" si="54"/>
        <v>0</v>
      </c>
      <c r="R68" s="371">
        <f t="shared" si="54"/>
        <v>10007</v>
      </c>
      <c r="S68" s="371">
        <f t="shared" si="54"/>
        <v>1272.04</v>
      </c>
      <c r="T68" s="371">
        <f t="shared" si="54"/>
        <v>8734.9599999999991</v>
      </c>
      <c r="U68" s="371">
        <f t="shared" si="54"/>
        <v>0.25600000000000001</v>
      </c>
      <c r="V68" s="371">
        <f t="shared" si="54"/>
        <v>559.03743999999995</v>
      </c>
      <c r="W68" s="371">
        <f t="shared" si="54"/>
        <v>24.6</v>
      </c>
      <c r="X68" s="371">
        <f t="shared" si="54"/>
        <v>583.63743999999997</v>
      </c>
      <c r="Y68" s="371">
        <f t="shared" si="54"/>
        <v>624.75</v>
      </c>
      <c r="Z68" s="371">
        <f t="shared" si="54"/>
        <v>-41.099999999999994</v>
      </c>
      <c r="AA68" s="371"/>
      <c r="AB68" s="371">
        <f>SUM(AB63:AB67)</f>
        <v>92.91</v>
      </c>
      <c r="AC68" s="371">
        <f>SUM(AC63:AC67)</f>
        <v>37.26</v>
      </c>
      <c r="AD68" s="371">
        <f t="shared" si="54"/>
        <v>0</v>
      </c>
      <c r="AE68" s="371">
        <f t="shared" si="54"/>
        <v>0</v>
      </c>
      <c r="AF68" s="371">
        <f t="shared" si="54"/>
        <v>0</v>
      </c>
      <c r="AG68" s="371">
        <f>SUM(AG63:AG67)</f>
        <v>0</v>
      </c>
      <c r="AH68" s="371">
        <f>SUM(AH63:AH67)</f>
        <v>37.26</v>
      </c>
      <c r="AI68" s="415">
        <f>SUM(AI63:AI67)</f>
        <v>12562.65</v>
      </c>
      <c r="AJ68" s="164"/>
      <c r="AK68" s="225"/>
      <c r="AL68" s="108">
        <f>O68+AB68-AH68</f>
        <v>12562.65</v>
      </c>
    </row>
    <row r="69" spans="2:38" ht="29.25" customHeight="1" x14ac:dyDescent="0.25">
      <c r="B69" s="573" t="s">
        <v>124</v>
      </c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225"/>
    </row>
    <row r="70" spans="2:38" s="103" customFormat="1" ht="24" customHeight="1" x14ac:dyDescent="0.25">
      <c r="B70" s="404">
        <v>44</v>
      </c>
      <c r="C70" s="497" t="s">
        <v>404</v>
      </c>
      <c r="D70" s="362" t="s">
        <v>120</v>
      </c>
      <c r="E70" s="369"/>
      <c r="F70" s="362">
        <v>15</v>
      </c>
      <c r="G70" s="363">
        <v>99.533000000000001</v>
      </c>
      <c r="H70" s="364">
        <f t="shared" ref="H70:H79" si="55">ROUND(F70*G70,2)</f>
        <v>1493</v>
      </c>
      <c r="I70" s="364">
        <v>0</v>
      </c>
      <c r="J70" s="364">
        <v>0</v>
      </c>
      <c r="K70" s="364">
        <v>0</v>
      </c>
      <c r="L70" s="364">
        <v>0</v>
      </c>
      <c r="M70" s="364">
        <v>0</v>
      </c>
      <c r="N70" s="364">
        <v>0</v>
      </c>
      <c r="O70" s="364">
        <f t="shared" ref="O70:O79" si="56">SUM(H70:N70)</f>
        <v>1493</v>
      </c>
      <c r="P70" s="364"/>
      <c r="Q70" s="364">
        <v>0</v>
      </c>
      <c r="R70" s="364">
        <f t="shared" ref="R70:R79" si="57">H70+I70+J70+M70+Q70+K70</f>
        <v>1493</v>
      </c>
      <c r="S70" s="364">
        <f t="shared" ref="S70:S79" si="58">VLOOKUP(R70,TARIFA1,1)</f>
        <v>318.01</v>
      </c>
      <c r="T70" s="364">
        <f t="shared" ref="T70:T79" si="59">R70-S70</f>
        <v>1174.99</v>
      </c>
      <c r="U70" s="367">
        <f t="shared" ref="U70:U79" si="60">VLOOKUP(R70,TARIFA1,3)</f>
        <v>6.4000000000000001E-2</v>
      </c>
      <c r="V70" s="364">
        <f t="shared" ref="V70:V79" si="61">T70*U70</f>
        <v>75.199359999999999</v>
      </c>
      <c r="W70" s="364">
        <f t="shared" ref="W70:W79" si="62">VLOOKUP(R70,TARIFA1,2)</f>
        <v>6.15</v>
      </c>
      <c r="X70" s="364">
        <f t="shared" ref="X70:X79" si="63">V70+W70</f>
        <v>81.349360000000004</v>
      </c>
      <c r="Y70" s="364">
        <f t="shared" ref="Y70:Y79" si="64">VLOOKUP(R70,Credito1,2)</f>
        <v>200.7</v>
      </c>
      <c r="Z70" s="364">
        <f t="shared" ref="Z70:Z79" si="65">ROUND(X70-Y70,2)</f>
        <v>-119.35</v>
      </c>
      <c r="AA70" s="364"/>
      <c r="AB70" s="364">
        <f t="shared" ref="AB70:AB79" si="66">-IF(Z70&gt;0,0,Z70)</f>
        <v>119.35</v>
      </c>
      <c r="AC70" s="364">
        <f t="shared" ref="AC70:AC79" si="67">IF(Z70&lt;0,0,Z70)</f>
        <v>0</v>
      </c>
      <c r="AD70" s="364">
        <v>0</v>
      </c>
      <c r="AE70" s="365">
        <v>0</v>
      </c>
      <c r="AF70" s="365">
        <v>0</v>
      </c>
      <c r="AG70" s="372">
        <v>0</v>
      </c>
      <c r="AH70" s="364">
        <f t="shared" ref="AH70:AH79" si="68">SUM(AC70:AG70)</f>
        <v>0</v>
      </c>
      <c r="AI70" s="414">
        <f>O70+AB70-AH70</f>
        <v>1612.35</v>
      </c>
      <c r="AJ70" s="184"/>
      <c r="AK70" s="225"/>
    </row>
    <row r="71" spans="2:38" s="103" customFormat="1" ht="24" customHeight="1" x14ac:dyDescent="0.25">
      <c r="B71" s="404">
        <v>45</v>
      </c>
      <c r="C71" s="497" t="s">
        <v>253</v>
      </c>
      <c r="D71" s="362" t="s">
        <v>125</v>
      </c>
      <c r="E71" s="369"/>
      <c r="F71" s="362">
        <v>15</v>
      </c>
      <c r="G71" s="363">
        <v>298.86660000000001</v>
      </c>
      <c r="H71" s="364">
        <f t="shared" si="55"/>
        <v>4483</v>
      </c>
      <c r="I71" s="364">
        <v>0</v>
      </c>
      <c r="J71" s="364">
        <v>0</v>
      </c>
      <c r="K71" s="364">
        <v>0</v>
      </c>
      <c r="L71" s="364">
        <v>0</v>
      </c>
      <c r="M71" s="364">
        <v>0</v>
      </c>
      <c r="N71" s="364">
        <v>0</v>
      </c>
      <c r="O71" s="364">
        <f t="shared" si="56"/>
        <v>4483</v>
      </c>
      <c r="P71" s="364"/>
      <c r="Q71" s="364">
        <v>0</v>
      </c>
      <c r="R71" s="364">
        <f t="shared" si="57"/>
        <v>4483</v>
      </c>
      <c r="S71" s="364">
        <f t="shared" si="58"/>
        <v>2699.41</v>
      </c>
      <c r="T71" s="364">
        <f t="shared" si="59"/>
        <v>1783.5900000000001</v>
      </c>
      <c r="U71" s="367">
        <f t="shared" si="60"/>
        <v>0.10879999999999999</v>
      </c>
      <c r="V71" s="364">
        <f t="shared" si="61"/>
        <v>194.05459200000001</v>
      </c>
      <c r="W71" s="364">
        <f t="shared" si="62"/>
        <v>158.55000000000001</v>
      </c>
      <c r="X71" s="364">
        <f t="shared" si="63"/>
        <v>352.60459200000003</v>
      </c>
      <c r="Y71" s="364">
        <f t="shared" si="64"/>
        <v>0</v>
      </c>
      <c r="Z71" s="364">
        <f t="shared" si="65"/>
        <v>352.6</v>
      </c>
      <c r="AA71" s="364"/>
      <c r="AB71" s="364">
        <f t="shared" si="66"/>
        <v>0</v>
      </c>
      <c r="AC71" s="364">
        <f t="shared" si="67"/>
        <v>352.6</v>
      </c>
      <c r="AD71" s="364">
        <v>0</v>
      </c>
      <c r="AE71" s="365">
        <v>0</v>
      </c>
      <c r="AF71" s="365">
        <v>0</v>
      </c>
      <c r="AG71" s="372">
        <v>0</v>
      </c>
      <c r="AH71" s="364">
        <f t="shared" si="68"/>
        <v>352.6</v>
      </c>
      <c r="AI71" s="414">
        <f>O71+AB71-AH71</f>
        <v>4130.3999999999996</v>
      </c>
      <c r="AJ71" s="184"/>
      <c r="AK71" s="225"/>
    </row>
    <row r="72" spans="2:38" ht="23.25" customHeight="1" x14ac:dyDescent="0.25">
      <c r="B72" s="404">
        <v>46</v>
      </c>
      <c r="C72" s="495" t="s">
        <v>349</v>
      </c>
      <c r="D72" s="362" t="s">
        <v>125</v>
      </c>
      <c r="E72" s="369"/>
      <c r="F72" s="362">
        <v>15</v>
      </c>
      <c r="G72" s="363">
        <v>174.8</v>
      </c>
      <c r="H72" s="364">
        <f t="shared" si="55"/>
        <v>2622</v>
      </c>
      <c r="I72" s="365">
        <v>0</v>
      </c>
      <c r="J72" s="365">
        <v>0</v>
      </c>
      <c r="K72" s="365">
        <v>0</v>
      </c>
      <c r="L72" s="365">
        <v>0</v>
      </c>
      <c r="M72" s="365">
        <v>0</v>
      </c>
      <c r="N72" s="365">
        <v>0</v>
      </c>
      <c r="O72" s="364">
        <f t="shared" si="56"/>
        <v>2622</v>
      </c>
      <c r="P72" s="366"/>
      <c r="Q72" s="364">
        <f t="shared" ref="Q72:Q79" si="69">IF(G72=47.16,0,IF(G72&gt;47.16,L72*0.5,0))</f>
        <v>0</v>
      </c>
      <c r="R72" s="364">
        <f t="shared" si="57"/>
        <v>2622</v>
      </c>
      <c r="S72" s="364">
        <f t="shared" si="58"/>
        <v>318.01</v>
      </c>
      <c r="T72" s="364">
        <f t="shared" si="59"/>
        <v>2303.9899999999998</v>
      </c>
      <c r="U72" s="367">
        <f t="shared" si="60"/>
        <v>6.4000000000000001E-2</v>
      </c>
      <c r="V72" s="364">
        <f t="shared" si="61"/>
        <v>147.45535999999998</v>
      </c>
      <c r="W72" s="364">
        <f t="shared" si="62"/>
        <v>6.15</v>
      </c>
      <c r="X72" s="364">
        <f t="shared" si="63"/>
        <v>153.60535999999999</v>
      </c>
      <c r="Y72" s="364">
        <f t="shared" si="64"/>
        <v>160.35</v>
      </c>
      <c r="Z72" s="364">
        <f t="shared" si="65"/>
        <v>-6.74</v>
      </c>
      <c r="AA72" s="368"/>
      <c r="AB72" s="364">
        <f t="shared" si="66"/>
        <v>6.74</v>
      </c>
      <c r="AC72" s="364">
        <f t="shared" si="67"/>
        <v>0</v>
      </c>
      <c r="AD72" s="364">
        <v>0</v>
      </c>
      <c r="AE72" s="365">
        <v>0</v>
      </c>
      <c r="AF72" s="365">
        <v>0</v>
      </c>
      <c r="AG72" s="372">
        <v>0</v>
      </c>
      <c r="AH72" s="364">
        <f t="shared" si="68"/>
        <v>0</v>
      </c>
      <c r="AI72" s="414">
        <f t="shared" ref="AI72:AI79" si="70">O72+AB72-AH72</f>
        <v>2628.74</v>
      </c>
      <c r="AJ72" s="184"/>
      <c r="AK72" s="225"/>
    </row>
    <row r="73" spans="2:38" ht="28.5" customHeight="1" x14ac:dyDescent="0.25">
      <c r="B73" s="404">
        <v>47</v>
      </c>
      <c r="C73" s="495" t="s">
        <v>526</v>
      </c>
      <c r="D73" s="362" t="s">
        <v>125</v>
      </c>
      <c r="E73" s="369"/>
      <c r="F73" s="362">
        <v>15</v>
      </c>
      <c r="G73" s="363">
        <v>233.35</v>
      </c>
      <c r="H73" s="364">
        <f>ROUND(F73*G73,2)</f>
        <v>3500.25</v>
      </c>
      <c r="I73" s="365">
        <v>0</v>
      </c>
      <c r="J73" s="365">
        <v>0</v>
      </c>
      <c r="K73" s="365">
        <v>0</v>
      </c>
      <c r="L73" s="365">
        <v>0</v>
      </c>
      <c r="M73" s="365">
        <v>0</v>
      </c>
      <c r="N73" s="365">
        <v>0</v>
      </c>
      <c r="O73" s="364">
        <f t="shared" si="56"/>
        <v>3500.25</v>
      </c>
      <c r="P73" s="366"/>
      <c r="Q73" s="364">
        <f t="shared" si="69"/>
        <v>0</v>
      </c>
      <c r="R73" s="364">
        <f t="shared" si="57"/>
        <v>3500.25</v>
      </c>
      <c r="S73" s="364">
        <f t="shared" si="58"/>
        <v>2699.41</v>
      </c>
      <c r="T73" s="364">
        <f t="shared" si="59"/>
        <v>800.84000000000015</v>
      </c>
      <c r="U73" s="367">
        <f t="shared" si="60"/>
        <v>0.10879999999999999</v>
      </c>
      <c r="V73" s="364">
        <f t="shared" si="61"/>
        <v>87.131392000000005</v>
      </c>
      <c r="W73" s="364">
        <f t="shared" si="62"/>
        <v>158.55000000000001</v>
      </c>
      <c r="X73" s="364">
        <f t="shared" si="63"/>
        <v>245.68139200000002</v>
      </c>
      <c r="Y73" s="364">
        <f t="shared" si="64"/>
        <v>125.1</v>
      </c>
      <c r="Z73" s="364">
        <f t="shared" si="65"/>
        <v>120.58</v>
      </c>
      <c r="AA73" s="368"/>
      <c r="AB73" s="364">
        <v>0</v>
      </c>
      <c r="AC73" s="364">
        <v>0</v>
      </c>
      <c r="AD73" s="364">
        <v>0</v>
      </c>
      <c r="AE73" s="365">
        <v>0</v>
      </c>
      <c r="AF73" s="365">
        <v>0</v>
      </c>
      <c r="AG73" s="372">
        <v>0</v>
      </c>
      <c r="AH73" s="364">
        <f t="shared" si="68"/>
        <v>0</v>
      </c>
      <c r="AI73" s="414">
        <f t="shared" si="70"/>
        <v>3500.25</v>
      </c>
      <c r="AJ73" s="184"/>
      <c r="AK73" s="225"/>
    </row>
    <row r="74" spans="2:38" ht="25.5" customHeight="1" x14ac:dyDescent="0.25">
      <c r="B74" s="404">
        <v>48</v>
      </c>
      <c r="C74" s="495" t="s">
        <v>327</v>
      </c>
      <c r="D74" s="362" t="s">
        <v>132</v>
      </c>
      <c r="E74" s="341"/>
      <c r="F74" s="362">
        <v>15</v>
      </c>
      <c r="G74" s="363">
        <v>108.6</v>
      </c>
      <c r="H74" s="364">
        <f t="shared" si="55"/>
        <v>1629</v>
      </c>
      <c r="I74" s="365">
        <v>0</v>
      </c>
      <c r="J74" s="365">
        <v>0</v>
      </c>
      <c r="K74" s="365">
        <v>0</v>
      </c>
      <c r="L74" s="365">
        <v>0</v>
      </c>
      <c r="M74" s="365">
        <v>0</v>
      </c>
      <c r="N74" s="365">
        <v>0</v>
      </c>
      <c r="O74" s="364">
        <f t="shared" si="56"/>
        <v>1629</v>
      </c>
      <c r="P74" s="366"/>
      <c r="Q74" s="364">
        <f t="shared" si="69"/>
        <v>0</v>
      </c>
      <c r="R74" s="364">
        <f t="shared" si="57"/>
        <v>1629</v>
      </c>
      <c r="S74" s="364">
        <f t="shared" si="58"/>
        <v>318.01</v>
      </c>
      <c r="T74" s="364">
        <f t="shared" si="59"/>
        <v>1310.99</v>
      </c>
      <c r="U74" s="367">
        <f t="shared" si="60"/>
        <v>6.4000000000000001E-2</v>
      </c>
      <c r="V74" s="364">
        <f t="shared" si="61"/>
        <v>83.903360000000006</v>
      </c>
      <c r="W74" s="364">
        <f t="shared" si="62"/>
        <v>6.15</v>
      </c>
      <c r="X74" s="364">
        <f t="shared" si="63"/>
        <v>90.053360000000012</v>
      </c>
      <c r="Y74" s="364">
        <f t="shared" si="64"/>
        <v>200.7</v>
      </c>
      <c r="Z74" s="364">
        <f t="shared" si="65"/>
        <v>-110.65</v>
      </c>
      <c r="AA74" s="368"/>
      <c r="AB74" s="364">
        <f t="shared" si="66"/>
        <v>110.65</v>
      </c>
      <c r="AC74" s="364">
        <f t="shared" si="67"/>
        <v>0</v>
      </c>
      <c r="AD74" s="364">
        <v>0</v>
      </c>
      <c r="AE74" s="365">
        <v>0</v>
      </c>
      <c r="AF74" s="365">
        <v>0</v>
      </c>
      <c r="AG74" s="372">
        <v>0</v>
      </c>
      <c r="AH74" s="364">
        <f t="shared" si="68"/>
        <v>0</v>
      </c>
      <c r="AI74" s="414">
        <f t="shared" si="70"/>
        <v>1739.65</v>
      </c>
      <c r="AJ74" s="184"/>
      <c r="AK74" s="225"/>
    </row>
    <row r="75" spans="2:38" ht="25.5" customHeight="1" x14ac:dyDescent="0.25">
      <c r="B75" s="404">
        <v>49</v>
      </c>
      <c r="C75" s="495" t="s">
        <v>443</v>
      </c>
      <c r="D75" s="362" t="s">
        <v>132</v>
      </c>
      <c r="E75" s="369"/>
      <c r="F75" s="362">
        <v>15</v>
      </c>
      <c r="G75" s="363">
        <v>66.666600000000003</v>
      </c>
      <c r="H75" s="364">
        <f t="shared" si="55"/>
        <v>1000</v>
      </c>
      <c r="I75" s="365">
        <v>0</v>
      </c>
      <c r="J75" s="365">
        <v>0</v>
      </c>
      <c r="K75" s="365">
        <v>0</v>
      </c>
      <c r="L75" s="365">
        <v>0</v>
      </c>
      <c r="M75" s="365">
        <v>0</v>
      </c>
      <c r="N75" s="365">
        <v>0</v>
      </c>
      <c r="O75" s="364">
        <f t="shared" si="56"/>
        <v>1000</v>
      </c>
      <c r="P75" s="366"/>
      <c r="Q75" s="364">
        <f t="shared" si="69"/>
        <v>0</v>
      </c>
      <c r="R75" s="364">
        <f t="shared" si="57"/>
        <v>1000</v>
      </c>
      <c r="S75" s="364">
        <f t="shared" si="58"/>
        <v>318.01</v>
      </c>
      <c r="T75" s="364">
        <f t="shared" si="59"/>
        <v>681.99</v>
      </c>
      <c r="U75" s="367">
        <f t="shared" si="60"/>
        <v>6.4000000000000001E-2</v>
      </c>
      <c r="V75" s="364">
        <f t="shared" si="61"/>
        <v>43.647359999999999</v>
      </c>
      <c r="W75" s="364">
        <f t="shared" si="62"/>
        <v>6.15</v>
      </c>
      <c r="X75" s="364">
        <f t="shared" si="63"/>
        <v>49.797359999999998</v>
      </c>
      <c r="Y75" s="364">
        <f t="shared" si="64"/>
        <v>200.7</v>
      </c>
      <c r="Z75" s="364">
        <f t="shared" si="65"/>
        <v>-150.9</v>
      </c>
      <c r="AA75" s="368"/>
      <c r="AB75" s="364">
        <f t="shared" si="66"/>
        <v>150.9</v>
      </c>
      <c r="AC75" s="364">
        <f t="shared" si="67"/>
        <v>0</v>
      </c>
      <c r="AD75" s="364">
        <v>0</v>
      </c>
      <c r="AE75" s="365">
        <v>0</v>
      </c>
      <c r="AF75" s="365">
        <v>0</v>
      </c>
      <c r="AG75" s="372">
        <v>0</v>
      </c>
      <c r="AH75" s="364">
        <f t="shared" si="68"/>
        <v>0</v>
      </c>
      <c r="AI75" s="414">
        <f t="shared" si="70"/>
        <v>1150.9000000000001</v>
      </c>
      <c r="AJ75" s="184"/>
      <c r="AK75" s="225"/>
    </row>
    <row r="76" spans="2:38" ht="25.5" customHeight="1" x14ac:dyDescent="0.25">
      <c r="B76" s="404">
        <v>50</v>
      </c>
      <c r="C76" s="495" t="s">
        <v>491</v>
      </c>
      <c r="D76" s="362" t="s">
        <v>132</v>
      </c>
      <c r="E76" s="369"/>
      <c r="F76" s="362">
        <v>15</v>
      </c>
      <c r="G76" s="363">
        <v>128</v>
      </c>
      <c r="H76" s="364">
        <f t="shared" si="55"/>
        <v>1920</v>
      </c>
      <c r="I76" s="365">
        <v>0</v>
      </c>
      <c r="J76" s="365">
        <v>0</v>
      </c>
      <c r="K76" s="365">
        <v>0</v>
      </c>
      <c r="L76" s="365">
        <v>0</v>
      </c>
      <c r="M76" s="365">
        <v>0</v>
      </c>
      <c r="N76" s="365">
        <v>0</v>
      </c>
      <c r="O76" s="364">
        <f t="shared" si="56"/>
        <v>1920</v>
      </c>
      <c r="P76" s="366"/>
      <c r="Q76" s="364">
        <f t="shared" si="69"/>
        <v>0</v>
      </c>
      <c r="R76" s="364">
        <f t="shared" si="57"/>
        <v>1920</v>
      </c>
      <c r="S76" s="364">
        <f t="shared" si="58"/>
        <v>318.01</v>
      </c>
      <c r="T76" s="364">
        <f t="shared" si="59"/>
        <v>1601.99</v>
      </c>
      <c r="U76" s="367">
        <f t="shared" si="60"/>
        <v>6.4000000000000001E-2</v>
      </c>
      <c r="V76" s="364">
        <f t="shared" si="61"/>
        <v>102.52736</v>
      </c>
      <c r="W76" s="364">
        <f t="shared" si="62"/>
        <v>6.15</v>
      </c>
      <c r="X76" s="364">
        <f t="shared" si="63"/>
        <v>108.67736000000001</v>
      </c>
      <c r="Y76" s="364">
        <f t="shared" si="64"/>
        <v>188.7</v>
      </c>
      <c r="Z76" s="364">
        <f t="shared" si="65"/>
        <v>-80.02</v>
      </c>
      <c r="AA76" s="368"/>
      <c r="AB76" s="364">
        <f t="shared" si="66"/>
        <v>80.02</v>
      </c>
      <c r="AC76" s="364">
        <f t="shared" si="67"/>
        <v>0</v>
      </c>
      <c r="AD76" s="364">
        <v>0</v>
      </c>
      <c r="AE76" s="365">
        <v>0</v>
      </c>
      <c r="AF76" s="365">
        <v>0</v>
      </c>
      <c r="AG76" s="372">
        <v>0</v>
      </c>
      <c r="AH76" s="364">
        <f t="shared" si="68"/>
        <v>0</v>
      </c>
      <c r="AI76" s="414">
        <f t="shared" si="70"/>
        <v>2000.02</v>
      </c>
      <c r="AJ76" s="184"/>
      <c r="AK76" s="225"/>
    </row>
    <row r="77" spans="2:38" ht="22.5" customHeight="1" x14ac:dyDescent="0.25">
      <c r="B77" s="404">
        <v>51</v>
      </c>
      <c r="C77" s="495" t="s">
        <v>400</v>
      </c>
      <c r="D77" s="362" t="s">
        <v>132</v>
      </c>
      <c r="E77" s="369"/>
      <c r="F77" s="362">
        <v>15</v>
      </c>
      <c r="G77" s="363">
        <v>128</v>
      </c>
      <c r="H77" s="364">
        <f t="shared" si="55"/>
        <v>1920</v>
      </c>
      <c r="I77" s="365">
        <v>0</v>
      </c>
      <c r="J77" s="365">
        <v>0</v>
      </c>
      <c r="K77" s="365">
        <v>0</v>
      </c>
      <c r="L77" s="365">
        <v>0</v>
      </c>
      <c r="M77" s="365">
        <v>0</v>
      </c>
      <c r="N77" s="365">
        <v>0</v>
      </c>
      <c r="O77" s="364">
        <f t="shared" si="56"/>
        <v>1920</v>
      </c>
      <c r="P77" s="366"/>
      <c r="Q77" s="364">
        <f t="shared" si="69"/>
        <v>0</v>
      </c>
      <c r="R77" s="364">
        <f t="shared" si="57"/>
        <v>1920</v>
      </c>
      <c r="S77" s="364">
        <f t="shared" si="58"/>
        <v>318.01</v>
      </c>
      <c r="T77" s="364">
        <f t="shared" si="59"/>
        <v>1601.99</v>
      </c>
      <c r="U77" s="367">
        <f t="shared" si="60"/>
        <v>6.4000000000000001E-2</v>
      </c>
      <c r="V77" s="364">
        <f t="shared" si="61"/>
        <v>102.52736</v>
      </c>
      <c r="W77" s="364">
        <f t="shared" si="62"/>
        <v>6.15</v>
      </c>
      <c r="X77" s="364">
        <f t="shared" si="63"/>
        <v>108.67736000000001</v>
      </c>
      <c r="Y77" s="364">
        <f t="shared" si="64"/>
        <v>188.7</v>
      </c>
      <c r="Z77" s="364">
        <f t="shared" si="65"/>
        <v>-80.02</v>
      </c>
      <c r="AA77" s="368"/>
      <c r="AB77" s="364">
        <f t="shared" si="66"/>
        <v>80.02</v>
      </c>
      <c r="AC77" s="364">
        <f t="shared" si="67"/>
        <v>0</v>
      </c>
      <c r="AD77" s="364">
        <v>0</v>
      </c>
      <c r="AE77" s="365">
        <v>0</v>
      </c>
      <c r="AF77" s="365">
        <v>0</v>
      </c>
      <c r="AG77" s="372">
        <v>0</v>
      </c>
      <c r="AH77" s="364">
        <f t="shared" si="68"/>
        <v>0</v>
      </c>
      <c r="AI77" s="414">
        <f t="shared" si="70"/>
        <v>2000.02</v>
      </c>
      <c r="AJ77" s="184"/>
      <c r="AK77" s="225"/>
    </row>
    <row r="78" spans="2:38" ht="22.5" customHeight="1" x14ac:dyDescent="0.25">
      <c r="B78" s="404">
        <v>52</v>
      </c>
      <c r="C78" s="495" t="s">
        <v>446</v>
      </c>
      <c r="D78" s="362" t="s">
        <v>261</v>
      </c>
      <c r="E78" s="369"/>
      <c r="F78" s="362">
        <v>15</v>
      </c>
      <c r="G78" s="363">
        <v>100</v>
      </c>
      <c r="H78" s="364">
        <f t="shared" si="55"/>
        <v>1500</v>
      </c>
      <c r="I78" s="365">
        <v>0</v>
      </c>
      <c r="J78" s="365">
        <v>0</v>
      </c>
      <c r="K78" s="365">
        <v>0</v>
      </c>
      <c r="L78" s="365">
        <v>0</v>
      </c>
      <c r="M78" s="365">
        <v>0</v>
      </c>
      <c r="N78" s="365">
        <v>0</v>
      </c>
      <c r="O78" s="364">
        <f t="shared" si="56"/>
        <v>1500</v>
      </c>
      <c r="P78" s="366"/>
      <c r="Q78" s="364">
        <f t="shared" si="69"/>
        <v>0</v>
      </c>
      <c r="R78" s="364">
        <f t="shared" si="57"/>
        <v>1500</v>
      </c>
      <c r="S78" s="364">
        <f t="shared" si="58"/>
        <v>318.01</v>
      </c>
      <c r="T78" s="364">
        <f t="shared" si="59"/>
        <v>1181.99</v>
      </c>
      <c r="U78" s="367">
        <f t="shared" si="60"/>
        <v>6.4000000000000001E-2</v>
      </c>
      <c r="V78" s="364">
        <f t="shared" si="61"/>
        <v>75.647360000000006</v>
      </c>
      <c r="W78" s="364">
        <f t="shared" si="62"/>
        <v>6.15</v>
      </c>
      <c r="X78" s="364">
        <f t="shared" si="63"/>
        <v>81.797360000000012</v>
      </c>
      <c r="Y78" s="364">
        <f t="shared" si="64"/>
        <v>200.7</v>
      </c>
      <c r="Z78" s="364">
        <f t="shared" si="65"/>
        <v>-118.9</v>
      </c>
      <c r="AA78" s="368"/>
      <c r="AB78" s="364">
        <f t="shared" si="66"/>
        <v>118.9</v>
      </c>
      <c r="AC78" s="364">
        <f t="shared" si="67"/>
        <v>0</v>
      </c>
      <c r="AD78" s="364">
        <v>0</v>
      </c>
      <c r="AE78" s="365">
        <v>0</v>
      </c>
      <c r="AF78" s="365">
        <v>0</v>
      </c>
      <c r="AG78" s="372">
        <v>0</v>
      </c>
      <c r="AH78" s="364">
        <f t="shared" si="68"/>
        <v>0</v>
      </c>
      <c r="AI78" s="414">
        <f t="shared" si="70"/>
        <v>1618.9</v>
      </c>
      <c r="AJ78" s="184"/>
      <c r="AK78" s="225"/>
    </row>
    <row r="79" spans="2:38" ht="22.5" customHeight="1" x14ac:dyDescent="0.25">
      <c r="B79" s="404">
        <v>53</v>
      </c>
      <c r="C79" s="495" t="s">
        <v>417</v>
      </c>
      <c r="D79" s="362" t="s">
        <v>145</v>
      </c>
      <c r="E79" s="369"/>
      <c r="F79" s="362">
        <v>15</v>
      </c>
      <c r="G79" s="363">
        <v>96.332999999999998</v>
      </c>
      <c r="H79" s="364">
        <f t="shared" si="55"/>
        <v>1445</v>
      </c>
      <c r="I79" s="365">
        <v>0</v>
      </c>
      <c r="J79" s="365">
        <v>0</v>
      </c>
      <c r="K79" s="365">
        <v>0</v>
      </c>
      <c r="L79" s="365">
        <v>0</v>
      </c>
      <c r="M79" s="365">
        <v>0</v>
      </c>
      <c r="N79" s="365">
        <v>0</v>
      </c>
      <c r="O79" s="364">
        <f t="shared" si="56"/>
        <v>1445</v>
      </c>
      <c r="P79" s="366"/>
      <c r="Q79" s="364">
        <f t="shared" si="69"/>
        <v>0</v>
      </c>
      <c r="R79" s="364">
        <f t="shared" si="57"/>
        <v>1445</v>
      </c>
      <c r="S79" s="364">
        <f t="shared" si="58"/>
        <v>318.01</v>
      </c>
      <c r="T79" s="364">
        <f t="shared" si="59"/>
        <v>1126.99</v>
      </c>
      <c r="U79" s="367">
        <f t="shared" si="60"/>
        <v>6.4000000000000001E-2</v>
      </c>
      <c r="V79" s="364">
        <f t="shared" si="61"/>
        <v>72.127359999999996</v>
      </c>
      <c r="W79" s="364">
        <f t="shared" si="62"/>
        <v>6.15</v>
      </c>
      <c r="X79" s="364">
        <f t="shared" si="63"/>
        <v>78.277360000000002</v>
      </c>
      <c r="Y79" s="364">
        <f t="shared" si="64"/>
        <v>200.7</v>
      </c>
      <c r="Z79" s="364">
        <f t="shared" si="65"/>
        <v>-122.42</v>
      </c>
      <c r="AA79" s="368"/>
      <c r="AB79" s="364">
        <f t="shared" si="66"/>
        <v>122.42</v>
      </c>
      <c r="AC79" s="364">
        <f t="shared" si="67"/>
        <v>0</v>
      </c>
      <c r="AD79" s="364">
        <v>0</v>
      </c>
      <c r="AE79" s="365">
        <v>0</v>
      </c>
      <c r="AF79" s="365">
        <v>0</v>
      </c>
      <c r="AG79" s="372">
        <v>0</v>
      </c>
      <c r="AH79" s="364">
        <f t="shared" si="68"/>
        <v>0</v>
      </c>
      <c r="AI79" s="414">
        <f t="shared" si="70"/>
        <v>1567.42</v>
      </c>
      <c r="AJ79" s="184"/>
      <c r="AK79" s="225"/>
    </row>
    <row r="80" spans="2:38" ht="22.5" customHeight="1" x14ac:dyDescent="0.25">
      <c r="B80" s="404"/>
      <c r="C80" s="495"/>
      <c r="D80" s="370" t="s">
        <v>111</v>
      </c>
      <c r="E80" s="570"/>
      <c r="F80" s="571"/>
      <c r="G80" s="572"/>
      <c r="H80" s="371">
        <f>SUM(H70:H79)</f>
        <v>21512.25</v>
      </c>
      <c r="I80" s="371">
        <f t="shared" ref="I80:N80" si="71">SUM(I72:I79)</f>
        <v>0</v>
      </c>
      <c r="J80" s="364">
        <f t="shared" si="71"/>
        <v>0</v>
      </c>
      <c r="K80" s="371">
        <f t="shared" si="71"/>
        <v>0</v>
      </c>
      <c r="L80" s="364">
        <f t="shared" si="71"/>
        <v>0</v>
      </c>
      <c r="M80" s="371">
        <f t="shared" si="71"/>
        <v>0</v>
      </c>
      <c r="N80" s="364">
        <f t="shared" si="71"/>
        <v>0</v>
      </c>
      <c r="O80" s="371">
        <f>SUM(O70:O79)</f>
        <v>21512.25</v>
      </c>
      <c r="P80" s="371">
        <f t="shared" ref="P80:Z80" si="72">SUM(P72:P79)</f>
        <v>0</v>
      </c>
      <c r="Q80" s="364">
        <f t="shared" si="72"/>
        <v>0</v>
      </c>
      <c r="R80" s="371">
        <f t="shared" si="72"/>
        <v>15536.25</v>
      </c>
      <c r="S80" s="371">
        <f t="shared" si="72"/>
        <v>4925.4800000000014</v>
      </c>
      <c r="T80" s="371">
        <f t="shared" si="72"/>
        <v>10610.769999999999</v>
      </c>
      <c r="U80" s="371">
        <f t="shared" si="72"/>
        <v>0.55679999999999996</v>
      </c>
      <c r="V80" s="371">
        <f t="shared" si="72"/>
        <v>714.96691199999998</v>
      </c>
      <c r="W80" s="371">
        <f t="shared" si="72"/>
        <v>201.60000000000005</v>
      </c>
      <c r="X80" s="371">
        <f t="shared" si="72"/>
        <v>916.56691200000012</v>
      </c>
      <c r="Y80" s="371">
        <f t="shared" si="72"/>
        <v>1465.65</v>
      </c>
      <c r="Z80" s="371">
        <f t="shared" si="72"/>
        <v>-549.06999999999994</v>
      </c>
      <c r="AA80" s="371"/>
      <c r="AB80" s="371">
        <f>SUM(AB70:AB79)</f>
        <v>788.99999999999989</v>
      </c>
      <c r="AC80" s="371">
        <f>SUM(AC70:AC79)</f>
        <v>352.6</v>
      </c>
      <c r="AD80" s="371">
        <f>SUM(AD72:AD79)</f>
        <v>0</v>
      </c>
      <c r="AE80" s="371">
        <f>SUM(AE72:AE79)</f>
        <v>0</v>
      </c>
      <c r="AF80" s="371">
        <f>SUM(AF72:AF79)</f>
        <v>0</v>
      </c>
      <c r="AG80" s="371">
        <f>SUM(AG70:AG79)</f>
        <v>0</v>
      </c>
      <c r="AH80" s="371">
        <f>SUM(AH70:AH79)</f>
        <v>352.6</v>
      </c>
      <c r="AI80" s="415">
        <f>SUM(AI70:AI79)</f>
        <v>21948.65</v>
      </c>
      <c r="AJ80" s="164"/>
      <c r="AK80" s="225"/>
      <c r="AL80" s="108">
        <f>O80+AB80-AH80</f>
        <v>21948.65</v>
      </c>
    </row>
    <row r="81" spans="2:38" ht="22.5" customHeight="1" x14ac:dyDescent="0.25">
      <c r="B81" s="573" t="s">
        <v>146</v>
      </c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225"/>
    </row>
    <row r="82" spans="2:38" s="103" customFormat="1" ht="22.5" customHeight="1" x14ac:dyDescent="0.25">
      <c r="B82" s="404">
        <v>54</v>
      </c>
      <c r="C82" s="495" t="s">
        <v>482</v>
      </c>
      <c r="D82" s="362" t="s">
        <v>113</v>
      </c>
      <c r="E82" s="369"/>
      <c r="F82" s="362">
        <v>15</v>
      </c>
      <c r="G82" s="363">
        <v>303</v>
      </c>
      <c r="H82" s="364">
        <f t="shared" ref="H82:H83" si="73">ROUND(F82*G82,2)</f>
        <v>4545</v>
      </c>
      <c r="I82" s="365">
        <v>0</v>
      </c>
      <c r="J82" s="365">
        <v>0</v>
      </c>
      <c r="K82" s="365">
        <v>0</v>
      </c>
      <c r="L82" s="365">
        <v>0</v>
      </c>
      <c r="M82" s="365">
        <v>0</v>
      </c>
      <c r="N82" s="365">
        <v>0</v>
      </c>
      <c r="O82" s="364">
        <f>SUM(H82:N82)</f>
        <v>4545</v>
      </c>
      <c r="P82" s="366"/>
      <c r="Q82" s="364">
        <f>IF(G82=47.16,0,IF(G82&gt;47.16,L82*0.5,0))</f>
        <v>0</v>
      </c>
      <c r="R82" s="364">
        <f>H82+I82+J82+M82+Q82+K82</f>
        <v>4545</v>
      </c>
      <c r="S82" s="364">
        <f>VLOOKUP(R82,TARIFA1,1)</f>
        <v>2699.41</v>
      </c>
      <c r="T82" s="364">
        <f>R82-S82</f>
        <v>1845.5900000000001</v>
      </c>
      <c r="U82" s="367">
        <f>VLOOKUP(R82,TARIFA1,3)</f>
        <v>0.10879999999999999</v>
      </c>
      <c r="V82" s="364">
        <f>T82*U82</f>
        <v>200.80019200000001</v>
      </c>
      <c r="W82" s="364">
        <f>VLOOKUP(R82,TARIFA1,2)</f>
        <v>158.55000000000001</v>
      </c>
      <c r="X82" s="364">
        <f>V82+W82</f>
        <v>359.35019199999999</v>
      </c>
      <c r="Y82" s="364">
        <f>VLOOKUP(R82,Credito1,2)</f>
        <v>0</v>
      </c>
      <c r="Z82" s="364">
        <f>ROUND(X82-Y82,2)</f>
        <v>359.35</v>
      </c>
      <c r="AA82" s="368"/>
      <c r="AB82" s="364">
        <f>-IF(Z82&gt;0,0,Z82)</f>
        <v>0</v>
      </c>
      <c r="AC82" s="364">
        <f>IF(Z82&lt;0,0,Z82)</f>
        <v>359.35</v>
      </c>
      <c r="AD82" s="364">
        <v>0</v>
      </c>
      <c r="AE82" s="364">
        <v>0</v>
      </c>
      <c r="AF82" s="364">
        <v>0</v>
      </c>
      <c r="AG82" s="372">
        <v>0</v>
      </c>
      <c r="AH82" s="364">
        <f>SUM(AC82:AG82)</f>
        <v>359.35</v>
      </c>
      <c r="AI82" s="414">
        <f>O82+AB82-AH82</f>
        <v>4185.6499999999996</v>
      </c>
      <c r="AJ82" s="184"/>
      <c r="AK82" s="225"/>
    </row>
    <row r="83" spans="2:38" s="133" customFormat="1" ht="20.25" customHeight="1" x14ac:dyDescent="0.3">
      <c r="B83" s="404">
        <v>55</v>
      </c>
      <c r="C83" s="497" t="s">
        <v>442</v>
      </c>
      <c r="D83" s="362" t="s">
        <v>118</v>
      </c>
      <c r="E83" s="369"/>
      <c r="F83" s="362">
        <v>15</v>
      </c>
      <c r="G83" s="384">
        <v>146.66659999999999</v>
      </c>
      <c r="H83" s="364">
        <f t="shared" si="73"/>
        <v>2200</v>
      </c>
      <c r="I83" s="365">
        <v>0</v>
      </c>
      <c r="J83" s="365">
        <v>0</v>
      </c>
      <c r="K83" s="365">
        <v>0</v>
      </c>
      <c r="L83" s="365">
        <v>0</v>
      </c>
      <c r="M83" s="365">
        <v>0</v>
      </c>
      <c r="N83" s="365">
        <v>0</v>
      </c>
      <c r="O83" s="364">
        <f>SUM(H83:N83)</f>
        <v>2200</v>
      </c>
      <c r="P83" s="384"/>
      <c r="Q83" s="364">
        <f>IF(G83=47.16,0,IF(G83&gt;47.16,L83*0.5,0))</f>
        <v>0</v>
      </c>
      <c r="R83" s="364">
        <f>H83+I83+J83+M83+Q83+K83</f>
        <v>2200</v>
      </c>
      <c r="S83" s="364">
        <f>VLOOKUP(R83,TARIFA1,1)</f>
        <v>318.01</v>
      </c>
      <c r="T83" s="364">
        <f>R83-S83</f>
        <v>1881.99</v>
      </c>
      <c r="U83" s="367">
        <f>VLOOKUP(R83,TARIFA1,3)</f>
        <v>6.4000000000000001E-2</v>
      </c>
      <c r="V83" s="364">
        <f>T83*U83</f>
        <v>120.44736</v>
      </c>
      <c r="W83" s="364">
        <f>VLOOKUP(R83,TARIFA1,2)</f>
        <v>6.15</v>
      </c>
      <c r="X83" s="364">
        <f>V83+W83</f>
        <v>126.59736000000001</v>
      </c>
      <c r="Y83" s="364">
        <f>VLOOKUP(R83,Credito1,2)</f>
        <v>174.75</v>
      </c>
      <c r="Z83" s="364">
        <f>ROUND(X83-Y83,2)</f>
        <v>-48.15</v>
      </c>
      <c r="AA83" s="384"/>
      <c r="AB83" s="364">
        <f>-IF(Z83&gt;0,0,Z83)</f>
        <v>48.15</v>
      </c>
      <c r="AC83" s="364">
        <f>IF(Z83&lt;0,0,Z83)</f>
        <v>0</v>
      </c>
      <c r="AD83" s="364">
        <v>0</v>
      </c>
      <c r="AE83" s="364">
        <v>0</v>
      </c>
      <c r="AF83" s="364">
        <v>0</v>
      </c>
      <c r="AG83" s="372">
        <v>0</v>
      </c>
      <c r="AH83" s="364">
        <f>SUM(AC83:AG83)</f>
        <v>0</v>
      </c>
      <c r="AI83" s="414">
        <f>O83+AB83-AH83</f>
        <v>2248.15</v>
      </c>
      <c r="AJ83" s="164"/>
      <c r="AK83" s="225"/>
    </row>
    <row r="84" spans="2:38" ht="22.5" customHeight="1" x14ac:dyDescent="0.25">
      <c r="B84" s="404"/>
      <c r="C84" s="495"/>
      <c r="D84" s="370" t="s">
        <v>111</v>
      </c>
      <c r="E84" s="570"/>
      <c r="F84" s="571"/>
      <c r="G84" s="572"/>
      <c r="H84" s="371">
        <f>SUM(H82:H83)</f>
        <v>6745</v>
      </c>
      <c r="I84" s="371">
        <f t="shared" ref="I84:N84" si="74">SUM(I82:I82)</f>
        <v>0</v>
      </c>
      <c r="J84" s="364">
        <f t="shared" si="74"/>
        <v>0</v>
      </c>
      <c r="K84" s="371">
        <f t="shared" si="74"/>
        <v>0</v>
      </c>
      <c r="L84" s="364">
        <f t="shared" si="74"/>
        <v>0</v>
      </c>
      <c r="M84" s="371">
        <f t="shared" si="74"/>
        <v>0</v>
      </c>
      <c r="N84" s="364">
        <f t="shared" si="74"/>
        <v>0</v>
      </c>
      <c r="O84" s="371">
        <f>SUM(O82:O83)</f>
        <v>6745</v>
      </c>
      <c r="P84" s="371">
        <f t="shared" ref="P84:AA84" si="75">SUM(P82:P82)</f>
        <v>0</v>
      </c>
      <c r="Q84" s="364">
        <f t="shared" si="75"/>
        <v>0</v>
      </c>
      <c r="R84" s="371">
        <f t="shared" si="75"/>
        <v>4545</v>
      </c>
      <c r="S84" s="371">
        <f t="shared" si="75"/>
        <v>2699.41</v>
      </c>
      <c r="T84" s="371">
        <f t="shared" si="75"/>
        <v>1845.5900000000001</v>
      </c>
      <c r="U84" s="371">
        <f t="shared" si="75"/>
        <v>0.10879999999999999</v>
      </c>
      <c r="V84" s="371">
        <f t="shared" si="75"/>
        <v>200.80019200000001</v>
      </c>
      <c r="W84" s="371">
        <f t="shared" si="75"/>
        <v>158.55000000000001</v>
      </c>
      <c r="X84" s="371">
        <f t="shared" si="75"/>
        <v>359.35019199999999</v>
      </c>
      <c r="Y84" s="371">
        <f t="shared" si="75"/>
        <v>0</v>
      </c>
      <c r="Z84" s="371">
        <f t="shared" si="75"/>
        <v>359.35</v>
      </c>
      <c r="AA84" s="371">
        <f t="shared" si="75"/>
        <v>0</v>
      </c>
      <c r="AB84" s="371">
        <f>SUM(AB82:AB83)</f>
        <v>48.15</v>
      </c>
      <c r="AC84" s="371">
        <f>SUM(AC82:AC83)</f>
        <v>359.35</v>
      </c>
      <c r="AD84" s="371">
        <f>SUM(AD82:AD82)</f>
        <v>0</v>
      </c>
      <c r="AE84" s="371">
        <f>SUM(AE82:AE82)</f>
        <v>0</v>
      </c>
      <c r="AF84" s="371">
        <f>SUM(AF82:AF82)</f>
        <v>0</v>
      </c>
      <c r="AG84" s="371">
        <f>SUM(AG82:AG83)</f>
        <v>0</v>
      </c>
      <c r="AH84" s="371">
        <f>SUM(AH82:AH83)</f>
        <v>359.35</v>
      </c>
      <c r="AI84" s="415">
        <f>SUM(AI82:AI83)</f>
        <v>6433.7999999999993</v>
      </c>
      <c r="AJ84" s="164"/>
      <c r="AK84" s="225"/>
      <c r="AL84" s="108">
        <f>O84+AB84-AH84</f>
        <v>6433.7999999999993</v>
      </c>
    </row>
    <row r="85" spans="2:38" ht="21.75" customHeight="1" x14ac:dyDescent="0.25">
      <c r="B85" s="573" t="s">
        <v>128</v>
      </c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  <c r="AF85" s="573"/>
      <c r="AG85" s="573"/>
      <c r="AH85" s="573"/>
      <c r="AI85" s="573"/>
      <c r="AJ85" s="573"/>
      <c r="AK85" s="225"/>
    </row>
    <row r="86" spans="2:38" ht="21.75" customHeight="1" x14ac:dyDescent="0.25">
      <c r="B86" s="404">
        <v>56</v>
      </c>
      <c r="C86" s="497" t="s">
        <v>474</v>
      </c>
      <c r="D86" s="362" t="s">
        <v>120</v>
      </c>
      <c r="E86" s="369"/>
      <c r="F86" s="362">
        <v>15</v>
      </c>
      <c r="G86" s="363">
        <v>100</v>
      </c>
      <c r="H86" s="364">
        <v>1500</v>
      </c>
      <c r="I86" s="371">
        <v>0</v>
      </c>
      <c r="J86" s="364">
        <v>0</v>
      </c>
      <c r="K86" s="364">
        <v>0</v>
      </c>
      <c r="L86" s="364">
        <v>0</v>
      </c>
      <c r="M86" s="371">
        <v>0</v>
      </c>
      <c r="N86" s="364">
        <v>0</v>
      </c>
      <c r="O86" s="364">
        <v>1500</v>
      </c>
      <c r="P86" s="371"/>
      <c r="Q86" s="364">
        <v>0</v>
      </c>
      <c r="R86" s="364">
        <v>1500</v>
      </c>
      <c r="S86" s="364">
        <v>318.01</v>
      </c>
      <c r="T86" s="364">
        <v>1181.99</v>
      </c>
      <c r="U86" s="367">
        <v>6.4000000000000001E-2</v>
      </c>
      <c r="V86" s="364">
        <v>75.647360000000006</v>
      </c>
      <c r="W86" s="364">
        <v>6.15</v>
      </c>
      <c r="X86" s="364">
        <v>81.797360000000012</v>
      </c>
      <c r="Y86" s="364">
        <v>200.7</v>
      </c>
      <c r="Z86" s="364">
        <v>-118.9</v>
      </c>
      <c r="AA86" s="371"/>
      <c r="AB86" s="364">
        <v>118.9</v>
      </c>
      <c r="AC86" s="364">
        <v>0</v>
      </c>
      <c r="AD86" s="364">
        <v>0</v>
      </c>
      <c r="AE86" s="364">
        <v>0</v>
      </c>
      <c r="AF86" s="364">
        <v>0</v>
      </c>
      <c r="AG86" s="372">
        <v>0</v>
      </c>
      <c r="AH86" s="364">
        <v>0</v>
      </c>
      <c r="AI86" s="414">
        <v>1618.9</v>
      </c>
      <c r="AJ86" s="184"/>
      <c r="AK86" s="225"/>
    </row>
    <row r="87" spans="2:38" ht="21.75" customHeight="1" x14ac:dyDescent="0.25">
      <c r="B87" s="404">
        <v>57</v>
      </c>
      <c r="C87" s="497" t="s">
        <v>328</v>
      </c>
      <c r="D87" s="362" t="s">
        <v>158</v>
      </c>
      <c r="E87" s="369"/>
      <c r="F87" s="362">
        <v>15</v>
      </c>
      <c r="G87" s="363">
        <v>143.86660000000001</v>
      </c>
      <c r="H87" s="364">
        <v>2158</v>
      </c>
      <c r="I87" s="371">
        <v>0</v>
      </c>
      <c r="J87" s="364">
        <v>0</v>
      </c>
      <c r="K87" s="364">
        <v>0</v>
      </c>
      <c r="L87" s="364">
        <v>0</v>
      </c>
      <c r="M87" s="371">
        <v>0</v>
      </c>
      <c r="N87" s="364">
        <v>0</v>
      </c>
      <c r="O87" s="364">
        <v>2158</v>
      </c>
      <c r="P87" s="371"/>
      <c r="Q87" s="364">
        <v>0</v>
      </c>
      <c r="R87" s="364">
        <v>2158</v>
      </c>
      <c r="S87" s="364">
        <v>318.01</v>
      </c>
      <c r="T87" s="364">
        <v>1839.99</v>
      </c>
      <c r="U87" s="367">
        <v>6.4000000000000001E-2</v>
      </c>
      <c r="V87" s="364">
        <v>117.75936</v>
      </c>
      <c r="W87" s="364">
        <v>6.15</v>
      </c>
      <c r="X87" s="364">
        <v>123.90936000000001</v>
      </c>
      <c r="Y87" s="364">
        <v>188.7</v>
      </c>
      <c r="Z87" s="364">
        <v>-64.790000000000006</v>
      </c>
      <c r="AA87" s="371"/>
      <c r="AB87" s="364">
        <v>64.790000000000006</v>
      </c>
      <c r="AC87" s="364">
        <v>0</v>
      </c>
      <c r="AD87" s="364">
        <v>0</v>
      </c>
      <c r="AE87" s="364">
        <v>0</v>
      </c>
      <c r="AF87" s="364">
        <v>0</v>
      </c>
      <c r="AG87" s="372">
        <v>0</v>
      </c>
      <c r="AH87" s="364">
        <v>0</v>
      </c>
      <c r="AI87" s="414">
        <v>2222.79</v>
      </c>
      <c r="AJ87" s="184"/>
      <c r="AK87" s="225"/>
    </row>
    <row r="88" spans="2:38" ht="21.75" customHeight="1" x14ac:dyDescent="0.25">
      <c r="B88" s="404">
        <v>58</v>
      </c>
      <c r="C88" s="497" t="s">
        <v>333</v>
      </c>
      <c r="D88" s="362" t="s">
        <v>147</v>
      </c>
      <c r="E88" s="369"/>
      <c r="F88" s="362">
        <v>15</v>
      </c>
      <c r="G88" s="363">
        <v>113.333</v>
      </c>
      <c r="H88" s="364">
        <v>1700</v>
      </c>
      <c r="I88" s="371">
        <v>0</v>
      </c>
      <c r="J88" s="364">
        <v>0</v>
      </c>
      <c r="K88" s="364">
        <v>0</v>
      </c>
      <c r="L88" s="364">
        <v>0</v>
      </c>
      <c r="M88" s="371">
        <v>0</v>
      </c>
      <c r="N88" s="364">
        <v>0</v>
      </c>
      <c r="O88" s="364">
        <v>1700</v>
      </c>
      <c r="P88" s="371"/>
      <c r="Q88" s="364">
        <v>0</v>
      </c>
      <c r="R88" s="364">
        <v>1700</v>
      </c>
      <c r="S88" s="364">
        <v>318.01</v>
      </c>
      <c r="T88" s="364">
        <v>1381.99</v>
      </c>
      <c r="U88" s="367">
        <v>6.4000000000000001E-2</v>
      </c>
      <c r="V88" s="364">
        <v>88.447360000000003</v>
      </c>
      <c r="W88" s="364">
        <v>6.15</v>
      </c>
      <c r="X88" s="364">
        <v>94.597360000000009</v>
      </c>
      <c r="Y88" s="364">
        <v>200.7</v>
      </c>
      <c r="Z88" s="364">
        <v>-106.1</v>
      </c>
      <c r="AA88" s="371"/>
      <c r="AB88" s="364">
        <v>106.1</v>
      </c>
      <c r="AC88" s="364">
        <v>0</v>
      </c>
      <c r="AD88" s="364">
        <v>0</v>
      </c>
      <c r="AE88" s="364">
        <v>0</v>
      </c>
      <c r="AF88" s="364">
        <v>0</v>
      </c>
      <c r="AG88" s="372">
        <v>0</v>
      </c>
      <c r="AH88" s="364">
        <v>0</v>
      </c>
      <c r="AI88" s="414">
        <v>1806.1</v>
      </c>
      <c r="AJ88" s="184"/>
      <c r="AK88" s="225"/>
    </row>
    <row r="89" spans="2:38" ht="21.75" customHeight="1" x14ac:dyDescent="0.25">
      <c r="B89" s="404">
        <v>59</v>
      </c>
      <c r="C89" s="497" t="s">
        <v>503</v>
      </c>
      <c r="D89" s="362" t="s">
        <v>147</v>
      </c>
      <c r="E89" s="369"/>
      <c r="F89" s="362">
        <v>15</v>
      </c>
      <c r="G89" s="363">
        <v>113.333</v>
      </c>
      <c r="H89" s="364">
        <v>1700</v>
      </c>
      <c r="I89" s="371">
        <v>0</v>
      </c>
      <c r="J89" s="364">
        <v>0</v>
      </c>
      <c r="K89" s="364">
        <v>0</v>
      </c>
      <c r="L89" s="364">
        <v>0</v>
      </c>
      <c r="M89" s="371">
        <v>0</v>
      </c>
      <c r="N89" s="364">
        <v>0</v>
      </c>
      <c r="O89" s="364">
        <v>1700</v>
      </c>
      <c r="P89" s="371"/>
      <c r="Q89" s="364">
        <v>0</v>
      </c>
      <c r="R89" s="364">
        <v>1700</v>
      </c>
      <c r="S89" s="364">
        <v>318.01</v>
      </c>
      <c r="T89" s="364">
        <v>1381.99</v>
      </c>
      <c r="U89" s="367">
        <v>6.4000000000000001E-2</v>
      </c>
      <c r="V89" s="364">
        <v>88.447360000000003</v>
      </c>
      <c r="W89" s="364">
        <v>6.15</v>
      </c>
      <c r="X89" s="364">
        <v>94.597360000000009</v>
      </c>
      <c r="Y89" s="364">
        <v>200.7</v>
      </c>
      <c r="Z89" s="364">
        <v>-106.1</v>
      </c>
      <c r="AA89" s="371"/>
      <c r="AB89" s="364">
        <v>106.1</v>
      </c>
      <c r="AC89" s="364">
        <v>0</v>
      </c>
      <c r="AD89" s="364">
        <v>0</v>
      </c>
      <c r="AE89" s="364">
        <v>0</v>
      </c>
      <c r="AF89" s="364">
        <v>0</v>
      </c>
      <c r="AG89" s="372">
        <v>0</v>
      </c>
      <c r="AH89" s="364">
        <v>0</v>
      </c>
      <c r="AI89" s="414">
        <v>1806.1</v>
      </c>
      <c r="AJ89" s="184"/>
      <c r="AK89" s="225"/>
    </row>
    <row r="90" spans="2:38" ht="21.75" customHeight="1" x14ac:dyDescent="0.25">
      <c r="B90" s="404">
        <v>60</v>
      </c>
      <c r="C90" s="495" t="s">
        <v>405</v>
      </c>
      <c r="D90" s="362" t="s">
        <v>218</v>
      </c>
      <c r="E90" s="369"/>
      <c r="F90" s="362">
        <v>15</v>
      </c>
      <c r="G90" s="363">
        <v>75.866600000000005</v>
      </c>
      <c r="H90" s="364">
        <v>1138</v>
      </c>
      <c r="I90" s="365">
        <v>0</v>
      </c>
      <c r="J90" s="364">
        <v>0</v>
      </c>
      <c r="K90" s="364">
        <v>0</v>
      </c>
      <c r="L90" s="365">
        <v>0</v>
      </c>
      <c r="M90" s="371">
        <v>0</v>
      </c>
      <c r="N90" s="364">
        <v>0</v>
      </c>
      <c r="O90" s="364">
        <v>1138</v>
      </c>
      <c r="P90" s="366"/>
      <c r="Q90" s="364">
        <v>0</v>
      </c>
      <c r="R90" s="364">
        <v>1138</v>
      </c>
      <c r="S90" s="364">
        <v>318.01</v>
      </c>
      <c r="T90" s="364">
        <v>819.99</v>
      </c>
      <c r="U90" s="367">
        <v>6.4000000000000001E-2</v>
      </c>
      <c r="V90" s="364">
        <v>52.47936</v>
      </c>
      <c r="W90" s="364">
        <v>6.15</v>
      </c>
      <c r="X90" s="364">
        <v>58.629359999999998</v>
      </c>
      <c r="Y90" s="364">
        <v>200.7</v>
      </c>
      <c r="Z90" s="364">
        <v>-142.07</v>
      </c>
      <c r="AA90" s="368"/>
      <c r="AB90" s="364">
        <v>142.07</v>
      </c>
      <c r="AC90" s="364">
        <v>0</v>
      </c>
      <c r="AD90" s="364">
        <v>0</v>
      </c>
      <c r="AE90" s="364">
        <v>0</v>
      </c>
      <c r="AF90" s="364">
        <v>0</v>
      </c>
      <c r="AG90" s="372">
        <v>0</v>
      </c>
      <c r="AH90" s="364">
        <v>0</v>
      </c>
      <c r="AI90" s="414">
        <v>1280.07</v>
      </c>
      <c r="AJ90" s="184"/>
      <c r="AK90" s="225"/>
    </row>
    <row r="91" spans="2:38" ht="21.75" customHeight="1" x14ac:dyDescent="0.25">
      <c r="B91" s="404">
        <v>61</v>
      </c>
      <c r="C91" s="495" t="s">
        <v>329</v>
      </c>
      <c r="D91" s="362" t="s">
        <v>242</v>
      </c>
      <c r="E91" s="362"/>
      <c r="F91" s="362">
        <v>15</v>
      </c>
      <c r="G91" s="363">
        <v>86.666600000000003</v>
      </c>
      <c r="H91" s="364">
        <v>1300</v>
      </c>
      <c r="I91" s="365">
        <v>0</v>
      </c>
      <c r="J91" s="364">
        <v>0</v>
      </c>
      <c r="K91" s="364">
        <v>0</v>
      </c>
      <c r="L91" s="365">
        <v>0</v>
      </c>
      <c r="M91" s="371">
        <v>0</v>
      </c>
      <c r="N91" s="364">
        <v>0</v>
      </c>
      <c r="O91" s="364">
        <v>1300</v>
      </c>
      <c r="P91" s="366"/>
      <c r="Q91" s="364">
        <v>0</v>
      </c>
      <c r="R91" s="364">
        <v>1300</v>
      </c>
      <c r="S91" s="364">
        <v>318.01</v>
      </c>
      <c r="T91" s="364">
        <v>981.99</v>
      </c>
      <c r="U91" s="367">
        <v>6.4000000000000001E-2</v>
      </c>
      <c r="V91" s="364">
        <v>62.847360000000002</v>
      </c>
      <c r="W91" s="364">
        <v>6.15</v>
      </c>
      <c r="X91" s="364">
        <v>68.99736</v>
      </c>
      <c r="Y91" s="364">
        <v>200.7</v>
      </c>
      <c r="Z91" s="364">
        <v>-131.69999999999999</v>
      </c>
      <c r="AA91" s="368"/>
      <c r="AB91" s="364">
        <v>131.69999999999999</v>
      </c>
      <c r="AC91" s="364">
        <v>0</v>
      </c>
      <c r="AD91" s="364">
        <v>0</v>
      </c>
      <c r="AE91" s="364">
        <v>0</v>
      </c>
      <c r="AF91" s="364">
        <v>0</v>
      </c>
      <c r="AG91" s="372">
        <v>0</v>
      </c>
      <c r="AH91" s="364">
        <v>0</v>
      </c>
      <c r="AI91" s="414">
        <v>1431.7</v>
      </c>
      <c r="AJ91" s="184"/>
      <c r="AK91" s="225"/>
    </row>
    <row r="92" spans="2:38" ht="21.75" customHeight="1" x14ac:dyDescent="0.25">
      <c r="B92" s="404"/>
      <c r="C92" s="495"/>
      <c r="D92" s="370" t="s">
        <v>111</v>
      </c>
      <c r="E92" s="570"/>
      <c r="F92" s="571"/>
      <c r="G92" s="572"/>
      <c r="H92" s="371">
        <f t="shared" ref="H92:AI92" si="76">SUM(H86:H91)</f>
        <v>9496</v>
      </c>
      <c r="I92" s="371">
        <f t="shared" si="76"/>
        <v>0</v>
      </c>
      <c r="J92" s="371">
        <f t="shared" si="76"/>
        <v>0</v>
      </c>
      <c r="K92" s="371">
        <f t="shared" si="76"/>
        <v>0</v>
      </c>
      <c r="L92" s="371">
        <f t="shared" si="76"/>
        <v>0</v>
      </c>
      <c r="M92" s="371">
        <f t="shared" si="76"/>
        <v>0</v>
      </c>
      <c r="N92" s="371">
        <f t="shared" si="76"/>
        <v>0</v>
      </c>
      <c r="O92" s="371">
        <f t="shared" si="76"/>
        <v>9496</v>
      </c>
      <c r="P92" s="371">
        <f t="shared" si="76"/>
        <v>0</v>
      </c>
      <c r="Q92" s="371">
        <f t="shared" si="76"/>
        <v>0</v>
      </c>
      <c r="R92" s="371">
        <f t="shared" si="76"/>
        <v>9496</v>
      </c>
      <c r="S92" s="371">
        <f t="shared" si="76"/>
        <v>1908.06</v>
      </c>
      <c r="T92" s="371">
        <f t="shared" si="76"/>
        <v>7587.94</v>
      </c>
      <c r="U92" s="371">
        <f t="shared" si="76"/>
        <v>0.38400000000000001</v>
      </c>
      <c r="V92" s="371">
        <f t="shared" si="76"/>
        <v>485.62815999999998</v>
      </c>
      <c r="W92" s="371">
        <f t="shared" si="76"/>
        <v>36.9</v>
      </c>
      <c r="X92" s="371">
        <f t="shared" si="76"/>
        <v>522.52815999999996</v>
      </c>
      <c r="Y92" s="371">
        <f t="shared" si="76"/>
        <v>1192.2</v>
      </c>
      <c r="Z92" s="371">
        <f t="shared" si="76"/>
        <v>-669.66000000000008</v>
      </c>
      <c r="AA92" s="371">
        <f t="shared" si="76"/>
        <v>0</v>
      </c>
      <c r="AB92" s="371">
        <f t="shared" si="76"/>
        <v>669.66000000000008</v>
      </c>
      <c r="AC92" s="371">
        <f t="shared" si="76"/>
        <v>0</v>
      </c>
      <c r="AD92" s="371">
        <f t="shared" si="76"/>
        <v>0</v>
      </c>
      <c r="AE92" s="371">
        <f t="shared" si="76"/>
        <v>0</v>
      </c>
      <c r="AF92" s="371">
        <f t="shared" si="76"/>
        <v>0</v>
      </c>
      <c r="AG92" s="371">
        <f t="shared" si="76"/>
        <v>0</v>
      </c>
      <c r="AH92" s="371">
        <f t="shared" si="76"/>
        <v>0</v>
      </c>
      <c r="AI92" s="415">
        <f t="shared" si="76"/>
        <v>10165.66</v>
      </c>
      <c r="AJ92" s="164"/>
      <c r="AK92" s="225"/>
      <c r="AL92" s="108">
        <f>O92+AB92-AH92</f>
        <v>10165.66</v>
      </c>
    </row>
    <row r="93" spans="2:38" ht="21.75" customHeight="1" x14ac:dyDescent="0.25">
      <c r="B93" s="573" t="s">
        <v>130</v>
      </c>
      <c r="C93" s="573"/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3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225"/>
    </row>
    <row r="94" spans="2:38" s="125" customFormat="1" ht="24.75" customHeight="1" x14ac:dyDescent="0.25">
      <c r="B94" s="404">
        <v>62</v>
      </c>
      <c r="C94" s="497" t="s">
        <v>391</v>
      </c>
      <c r="D94" s="362" t="s">
        <v>212</v>
      </c>
      <c r="E94" s="369"/>
      <c r="F94" s="362">
        <v>15</v>
      </c>
      <c r="G94" s="363">
        <v>106.6666</v>
      </c>
      <c r="H94" s="364">
        <f t="shared" ref="H94:H107" si="77">ROUND(F94*G94,2)</f>
        <v>1600</v>
      </c>
      <c r="I94" s="371">
        <v>0</v>
      </c>
      <c r="J94" s="364">
        <v>0</v>
      </c>
      <c r="K94" s="371">
        <v>0</v>
      </c>
      <c r="L94" s="364">
        <v>0</v>
      </c>
      <c r="M94" s="371">
        <v>0</v>
      </c>
      <c r="N94" s="364">
        <v>0</v>
      </c>
      <c r="O94" s="364">
        <f>SUM(H94:N94)</f>
        <v>1600</v>
      </c>
      <c r="P94" s="371"/>
      <c r="Q94" s="364">
        <v>0</v>
      </c>
      <c r="R94" s="364">
        <f>H94+I94+J94+M94+Q94+K94</f>
        <v>1600</v>
      </c>
      <c r="S94" s="364">
        <f t="shared" ref="S94:S108" si="78">VLOOKUP(R94,TARIFA1,1)</f>
        <v>318.01</v>
      </c>
      <c r="T94" s="364">
        <f>R94-S94</f>
        <v>1281.99</v>
      </c>
      <c r="U94" s="367">
        <f t="shared" ref="U94:U108" si="79">VLOOKUP(R94,TARIFA1,3)</f>
        <v>6.4000000000000001E-2</v>
      </c>
      <c r="V94" s="364">
        <f>T94*U94</f>
        <v>82.047359999999998</v>
      </c>
      <c r="W94" s="364">
        <f t="shared" ref="W94:W108" si="80">VLOOKUP(R94,TARIFA1,2)</f>
        <v>6.15</v>
      </c>
      <c r="X94" s="364">
        <f>V94+W94</f>
        <v>88.197360000000003</v>
      </c>
      <c r="Y94" s="364">
        <f t="shared" ref="Y94:Y108" si="81">VLOOKUP(R94,Credito1,2)</f>
        <v>200.7</v>
      </c>
      <c r="Z94" s="364">
        <f>ROUND(X94-Y94,2)</f>
        <v>-112.5</v>
      </c>
      <c r="AA94" s="371"/>
      <c r="AB94" s="364">
        <f>-IF(Z94&gt;0,0,Z94)</f>
        <v>112.5</v>
      </c>
      <c r="AC94" s="364">
        <f>IF(Z94&lt;0,0,Z94)</f>
        <v>0</v>
      </c>
      <c r="AD94" s="364">
        <f t="shared" ref="AD94:AF94" si="82">IF(AA94&lt;0,0,AA94)</f>
        <v>0</v>
      </c>
      <c r="AE94" s="364">
        <v>0</v>
      </c>
      <c r="AF94" s="364">
        <f t="shared" si="82"/>
        <v>0</v>
      </c>
      <c r="AG94" s="372">
        <v>0</v>
      </c>
      <c r="AH94" s="364">
        <f>SUM(AC94:AG94)</f>
        <v>0</v>
      </c>
      <c r="AI94" s="414">
        <f>O94+AB94-AH94</f>
        <v>1712.5</v>
      </c>
      <c r="AJ94" s="184"/>
      <c r="AK94" s="238"/>
    </row>
    <row r="95" spans="2:38" ht="26.25" customHeight="1" x14ac:dyDescent="0.25">
      <c r="B95" s="404">
        <v>63</v>
      </c>
      <c r="C95" s="495" t="s">
        <v>379</v>
      </c>
      <c r="D95" s="362" t="s">
        <v>132</v>
      </c>
      <c r="E95" s="369"/>
      <c r="F95" s="362">
        <v>15</v>
      </c>
      <c r="G95" s="363">
        <v>82.733000000000004</v>
      </c>
      <c r="H95" s="364">
        <f t="shared" si="77"/>
        <v>1241</v>
      </c>
      <c r="I95" s="365">
        <v>0</v>
      </c>
      <c r="J95" s="365">
        <v>0</v>
      </c>
      <c r="K95" s="365">
        <v>0</v>
      </c>
      <c r="L95" s="364">
        <v>0</v>
      </c>
      <c r="M95" s="365">
        <v>0</v>
      </c>
      <c r="N95" s="364">
        <v>0</v>
      </c>
      <c r="O95" s="364">
        <f>SUM(H95:N95)</f>
        <v>1241</v>
      </c>
      <c r="P95" s="366"/>
      <c r="Q95" s="364">
        <v>0</v>
      </c>
      <c r="R95" s="364">
        <f>H95+I95+J95+M95+Q95+K95</f>
        <v>1241</v>
      </c>
      <c r="S95" s="364">
        <f t="shared" si="78"/>
        <v>318.01</v>
      </c>
      <c r="T95" s="364">
        <f>R95-S95</f>
        <v>922.99</v>
      </c>
      <c r="U95" s="367">
        <f t="shared" si="79"/>
        <v>6.4000000000000001E-2</v>
      </c>
      <c r="V95" s="364">
        <f>T95*U95</f>
        <v>59.071359999999999</v>
      </c>
      <c r="W95" s="364">
        <f t="shared" si="80"/>
        <v>6.15</v>
      </c>
      <c r="X95" s="364">
        <f>V95+W95</f>
        <v>65.221360000000004</v>
      </c>
      <c r="Y95" s="364">
        <f t="shared" si="81"/>
        <v>200.7</v>
      </c>
      <c r="Z95" s="364">
        <f>ROUND(X95-Y95,2)</f>
        <v>-135.47999999999999</v>
      </c>
      <c r="AA95" s="368"/>
      <c r="AB95" s="364">
        <f>-IF(Z95&gt;0,0,Z95)</f>
        <v>135.47999999999999</v>
      </c>
      <c r="AC95" s="364">
        <f>IF(Z95&lt;0,0,Z95)</f>
        <v>0</v>
      </c>
      <c r="AD95" s="364">
        <v>0</v>
      </c>
      <c r="AE95" s="364">
        <v>0</v>
      </c>
      <c r="AF95" s="364">
        <v>0</v>
      </c>
      <c r="AG95" s="372">
        <v>0</v>
      </c>
      <c r="AH95" s="364">
        <f>SUM(AC95:AG95)</f>
        <v>0</v>
      </c>
      <c r="AI95" s="414">
        <f t="shared" ref="AI95:AI108" si="83">O95+AB95-AH95</f>
        <v>1376.48</v>
      </c>
      <c r="AJ95" s="184"/>
      <c r="AK95" s="225"/>
    </row>
    <row r="96" spans="2:38" ht="26.25" customHeight="1" x14ac:dyDescent="0.25">
      <c r="B96" s="404">
        <v>64</v>
      </c>
      <c r="C96" s="495" t="s">
        <v>343</v>
      </c>
      <c r="D96" s="362" t="s">
        <v>229</v>
      </c>
      <c r="E96" s="369"/>
      <c r="F96" s="362">
        <v>15</v>
      </c>
      <c r="G96" s="363">
        <v>89.6</v>
      </c>
      <c r="H96" s="364">
        <f t="shared" si="77"/>
        <v>1344</v>
      </c>
      <c r="I96" s="365">
        <v>0</v>
      </c>
      <c r="J96" s="365">
        <v>0</v>
      </c>
      <c r="K96" s="365">
        <v>0</v>
      </c>
      <c r="L96" s="364">
        <v>0</v>
      </c>
      <c r="M96" s="365">
        <v>0</v>
      </c>
      <c r="N96" s="364">
        <v>0</v>
      </c>
      <c r="O96" s="364">
        <f t="shared" ref="O96:O108" si="84">SUM(H96:N96)</f>
        <v>1344</v>
      </c>
      <c r="P96" s="366"/>
      <c r="Q96" s="364">
        <v>0</v>
      </c>
      <c r="R96" s="364">
        <f t="shared" ref="R96:R108" si="85">H96+I96+J96+M96+Q96+K96</f>
        <v>1344</v>
      </c>
      <c r="S96" s="364">
        <f t="shared" si="78"/>
        <v>318.01</v>
      </c>
      <c r="T96" s="364">
        <f t="shared" ref="T96:T99" si="86">R96-S96</f>
        <v>1025.99</v>
      </c>
      <c r="U96" s="367">
        <f t="shared" si="79"/>
        <v>6.4000000000000001E-2</v>
      </c>
      <c r="V96" s="364">
        <f t="shared" ref="V96:V97" si="87">T96*U96</f>
        <v>65.663359999999997</v>
      </c>
      <c r="W96" s="364">
        <f t="shared" si="80"/>
        <v>6.15</v>
      </c>
      <c r="X96" s="364">
        <f t="shared" ref="X96:X97" si="88">V96+W96</f>
        <v>71.813360000000003</v>
      </c>
      <c r="Y96" s="364">
        <f t="shared" si="81"/>
        <v>200.7</v>
      </c>
      <c r="Z96" s="364">
        <f t="shared" ref="Z96:Z97" si="89">ROUND(X96-Y96,2)</f>
        <v>-128.88999999999999</v>
      </c>
      <c r="AA96" s="368"/>
      <c r="AB96" s="364">
        <f t="shared" ref="AB96:AB97" si="90">-IF(Z96&gt;0,0,Z96)</f>
        <v>128.88999999999999</v>
      </c>
      <c r="AC96" s="364">
        <f t="shared" ref="AC96:AC97" si="91">IF(Z96&lt;0,0,Z96)</f>
        <v>0</v>
      </c>
      <c r="AD96" s="364">
        <v>0</v>
      </c>
      <c r="AE96" s="364">
        <v>0</v>
      </c>
      <c r="AF96" s="364">
        <v>0</v>
      </c>
      <c r="AG96" s="372">
        <v>0</v>
      </c>
      <c r="AH96" s="364">
        <f t="shared" ref="AH96:AH108" si="92">SUM(AC96:AG96)</f>
        <v>0</v>
      </c>
      <c r="AI96" s="414">
        <f t="shared" si="83"/>
        <v>1472.8899999999999</v>
      </c>
      <c r="AJ96" s="184"/>
      <c r="AK96" s="225"/>
    </row>
    <row r="97" spans="2:38" ht="26.25" customHeight="1" x14ac:dyDescent="0.25">
      <c r="B97" s="404">
        <v>65</v>
      </c>
      <c r="C97" s="495" t="s">
        <v>465</v>
      </c>
      <c r="D97" s="318" t="s">
        <v>221</v>
      </c>
      <c r="E97" s="369"/>
      <c r="F97" s="362">
        <v>15</v>
      </c>
      <c r="G97" s="363">
        <v>284.33300000000003</v>
      </c>
      <c r="H97" s="364">
        <f t="shared" si="77"/>
        <v>4265</v>
      </c>
      <c r="I97" s="365">
        <v>0</v>
      </c>
      <c r="J97" s="365">
        <v>0</v>
      </c>
      <c r="K97" s="365">
        <v>0</v>
      </c>
      <c r="L97" s="364">
        <v>0</v>
      </c>
      <c r="M97" s="365">
        <v>0</v>
      </c>
      <c r="N97" s="364">
        <v>0</v>
      </c>
      <c r="O97" s="364">
        <f t="shared" si="84"/>
        <v>4265</v>
      </c>
      <c r="P97" s="366"/>
      <c r="Q97" s="364">
        <v>0</v>
      </c>
      <c r="R97" s="364">
        <f t="shared" si="85"/>
        <v>4265</v>
      </c>
      <c r="S97" s="364">
        <f t="shared" si="78"/>
        <v>2699.41</v>
      </c>
      <c r="T97" s="364">
        <f t="shared" si="86"/>
        <v>1565.5900000000001</v>
      </c>
      <c r="U97" s="367">
        <f t="shared" si="79"/>
        <v>0.10879999999999999</v>
      </c>
      <c r="V97" s="364">
        <f t="shared" si="87"/>
        <v>170.33619200000001</v>
      </c>
      <c r="W97" s="364">
        <f t="shared" si="80"/>
        <v>158.55000000000001</v>
      </c>
      <c r="X97" s="364">
        <f t="shared" si="88"/>
        <v>328.88619200000005</v>
      </c>
      <c r="Y97" s="364">
        <f t="shared" si="81"/>
        <v>0</v>
      </c>
      <c r="Z97" s="364">
        <f t="shared" si="89"/>
        <v>328.89</v>
      </c>
      <c r="AA97" s="368"/>
      <c r="AB97" s="364">
        <f t="shared" si="90"/>
        <v>0</v>
      </c>
      <c r="AC97" s="364">
        <f t="shared" si="91"/>
        <v>328.89</v>
      </c>
      <c r="AD97" s="364">
        <v>0</v>
      </c>
      <c r="AE97" s="364">
        <v>0</v>
      </c>
      <c r="AF97" s="364">
        <v>0</v>
      </c>
      <c r="AG97" s="372">
        <v>0</v>
      </c>
      <c r="AH97" s="364">
        <f t="shared" si="92"/>
        <v>328.89</v>
      </c>
      <c r="AI97" s="414">
        <f t="shared" si="83"/>
        <v>3936.11</v>
      </c>
      <c r="AJ97" s="184"/>
      <c r="AK97" s="225"/>
    </row>
    <row r="98" spans="2:38" ht="26.25" customHeight="1" x14ac:dyDescent="0.25">
      <c r="B98" s="404">
        <v>66</v>
      </c>
      <c r="C98" s="495" t="s">
        <v>389</v>
      </c>
      <c r="D98" s="362" t="s">
        <v>116</v>
      </c>
      <c r="E98" s="369"/>
      <c r="F98" s="362">
        <v>15</v>
      </c>
      <c r="G98" s="363">
        <v>107.2666</v>
      </c>
      <c r="H98" s="364">
        <f t="shared" si="77"/>
        <v>1609</v>
      </c>
      <c r="I98" s="365">
        <v>0</v>
      </c>
      <c r="J98" s="365">
        <v>0</v>
      </c>
      <c r="K98" s="365">
        <v>0</v>
      </c>
      <c r="L98" s="364">
        <v>0</v>
      </c>
      <c r="M98" s="365">
        <v>0</v>
      </c>
      <c r="N98" s="364">
        <v>0</v>
      </c>
      <c r="O98" s="364">
        <f t="shared" si="84"/>
        <v>1609</v>
      </c>
      <c r="P98" s="366"/>
      <c r="Q98" s="364">
        <v>0</v>
      </c>
      <c r="R98" s="364">
        <f t="shared" si="85"/>
        <v>1609</v>
      </c>
      <c r="S98" s="364">
        <f t="shared" si="78"/>
        <v>318.01</v>
      </c>
      <c r="T98" s="364">
        <f t="shared" si="86"/>
        <v>1290.99</v>
      </c>
      <c r="U98" s="367">
        <f t="shared" si="79"/>
        <v>6.4000000000000001E-2</v>
      </c>
      <c r="V98" s="364">
        <f t="shared" ref="V98:V102" si="93">T98*U98</f>
        <v>82.623360000000005</v>
      </c>
      <c r="W98" s="364">
        <f t="shared" si="80"/>
        <v>6.15</v>
      </c>
      <c r="X98" s="364">
        <f>V98+W98</f>
        <v>88.773360000000011</v>
      </c>
      <c r="Y98" s="364">
        <f t="shared" si="81"/>
        <v>200.7</v>
      </c>
      <c r="Z98" s="364">
        <f t="shared" ref="Z98:Z102" si="94">ROUND(X98-Y98,2)</f>
        <v>-111.93</v>
      </c>
      <c r="AA98" s="368"/>
      <c r="AB98" s="364">
        <f t="shared" ref="AB98:AB102" si="95">-IF(Z98&gt;0,0,Z98)</f>
        <v>111.93</v>
      </c>
      <c r="AC98" s="364">
        <f t="shared" ref="AC98:AC102" si="96">IF(Z98&lt;0,0,Z98)</f>
        <v>0</v>
      </c>
      <c r="AD98" s="364">
        <v>0</v>
      </c>
      <c r="AE98" s="364">
        <v>0</v>
      </c>
      <c r="AF98" s="364">
        <v>0</v>
      </c>
      <c r="AG98" s="372">
        <v>0</v>
      </c>
      <c r="AH98" s="364">
        <f t="shared" si="92"/>
        <v>0</v>
      </c>
      <c r="AI98" s="414">
        <f t="shared" si="83"/>
        <v>1720.93</v>
      </c>
      <c r="AJ98" s="184"/>
      <c r="AK98" s="225"/>
    </row>
    <row r="99" spans="2:38" s="109" customFormat="1" ht="26.25" customHeight="1" x14ac:dyDescent="0.25">
      <c r="B99" s="407">
        <v>67</v>
      </c>
      <c r="C99" s="499" t="s">
        <v>534</v>
      </c>
      <c r="D99" s="385" t="s">
        <v>116</v>
      </c>
      <c r="E99" s="369"/>
      <c r="F99" s="385">
        <v>15</v>
      </c>
      <c r="G99" s="386">
        <v>107.27</v>
      </c>
      <c r="H99" s="364">
        <f t="shared" ref="H99" si="97">F99*G99</f>
        <v>1609.05</v>
      </c>
      <c r="I99" s="365">
        <v>0</v>
      </c>
      <c r="J99" s="365">
        <v>0</v>
      </c>
      <c r="K99" s="365">
        <v>0</v>
      </c>
      <c r="L99" s="364">
        <v>0</v>
      </c>
      <c r="M99" s="365">
        <v>0</v>
      </c>
      <c r="N99" s="364">
        <v>0</v>
      </c>
      <c r="O99" s="364">
        <f t="shared" si="84"/>
        <v>1609.05</v>
      </c>
      <c r="P99" s="366"/>
      <c r="Q99" s="364">
        <v>0</v>
      </c>
      <c r="R99" s="364">
        <f t="shared" si="85"/>
        <v>1609.05</v>
      </c>
      <c r="S99" s="364">
        <f t="shared" ref="S99" si="98">VLOOKUP(R99,TARIFA1,1)</f>
        <v>318.01</v>
      </c>
      <c r="T99" s="364">
        <f t="shared" si="86"/>
        <v>1291.04</v>
      </c>
      <c r="U99" s="367">
        <f t="shared" ref="U99" si="99">VLOOKUP(R99,TARIFA1,3)</f>
        <v>6.4000000000000001E-2</v>
      </c>
      <c r="V99" s="364">
        <f t="shared" si="93"/>
        <v>82.626559999999998</v>
      </c>
      <c r="W99" s="364">
        <f t="shared" ref="W99" si="100">VLOOKUP(R99,TARIFA1,2)</f>
        <v>6.15</v>
      </c>
      <c r="X99" s="364">
        <f t="shared" ref="X99" si="101">V99+W99</f>
        <v>88.776560000000003</v>
      </c>
      <c r="Y99" s="364">
        <f t="shared" ref="Y99" si="102">VLOOKUP(R99,Credito1,2)</f>
        <v>200.7</v>
      </c>
      <c r="Z99" s="364">
        <f t="shared" si="94"/>
        <v>-111.92</v>
      </c>
      <c r="AA99" s="368"/>
      <c r="AB99" s="364">
        <f t="shared" si="95"/>
        <v>111.92</v>
      </c>
      <c r="AC99" s="364">
        <f t="shared" si="96"/>
        <v>0</v>
      </c>
      <c r="AD99" s="364">
        <v>0</v>
      </c>
      <c r="AE99" s="364">
        <v>0</v>
      </c>
      <c r="AF99" s="364">
        <v>0</v>
      </c>
      <c r="AG99" s="372">
        <v>0</v>
      </c>
      <c r="AH99" s="364">
        <f t="shared" si="92"/>
        <v>0</v>
      </c>
      <c r="AI99" s="414">
        <f t="shared" si="83"/>
        <v>1720.97</v>
      </c>
      <c r="AJ99" s="184"/>
      <c r="AK99" s="231"/>
    </row>
    <row r="100" spans="2:38" ht="24.75" customHeight="1" x14ac:dyDescent="0.25">
      <c r="B100" s="404">
        <v>68</v>
      </c>
      <c r="C100" s="495" t="s">
        <v>497</v>
      </c>
      <c r="D100" s="362" t="s">
        <v>239</v>
      </c>
      <c r="E100" s="369"/>
      <c r="F100" s="362">
        <v>15</v>
      </c>
      <c r="G100" s="363">
        <v>107.2666</v>
      </c>
      <c r="H100" s="364">
        <f t="shared" si="77"/>
        <v>1609</v>
      </c>
      <c r="I100" s="365">
        <v>0</v>
      </c>
      <c r="J100" s="365">
        <v>0</v>
      </c>
      <c r="K100" s="365">
        <v>0</v>
      </c>
      <c r="L100" s="364">
        <v>0</v>
      </c>
      <c r="M100" s="365">
        <v>0</v>
      </c>
      <c r="N100" s="364">
        <v>0</v>
      </c>
      <c r="O100" s="364">
        <f t="shared" si="84"/>
        <v>1609</v>
      </c>
      <c r="P100" s="366"/>
      <c r="Q100" s="364">
        <v>0</v>
      </c>
      <c r="R100" s="364">
        <f t="shared" si="85"/>
        <v>1609</v>
      </c>
      <c r="S100" s="364">
        <f t="shared" si="78"/>
        <v>318.01</v>
      </c>
      <c r="T100" s="364">
        <f>R100-S100</f>
        <v>1290.99</v>
      </c>
      <c r="U100" s="367">
        <f t="shared" si="79"/>
        <v>6.4000000000000001E-2</v>
      </c>
      <c r="V100" s="364">
        <f t="shared" si="93"/>
        <v>82.623360000000005</v>
      </c>
      <c r="W100" s="364">
        <f t="shared" si="80"/>
        <v>6.15</v>
      </c>
      <c r="X100" s="364">
        <f>V100+W100</f>
        <v>88.773360000000011</v>
      </c>
      <c r="Y100" s="364">
        <f t="shared" si="81"/>
        <v>200.7</v>
      </c>
      <c r="Z100" s="364">
        <f t="shared" si="94"/>
        <v>-111.93</v>
      </c>
      <c r="AA100" s="368"/>
      <c r="AB100" s="364">
        <f t="shared" si="95"/>
        <v>111.93</v>
      </c>
      <c r="AC100" s="364">
        <f t="shared" si="96"/>
        <v>0</v>
      </c>
      <c r="AD100" s="364">
        <v>0</v>
      </c>
      <c r="AE100" s="364">
        <v>0</v>
      </c>
      <c r="AF100" s="364">
        <v>0</v>
      </c>
      <c r="AG100" s="372">
        <v>0</v>
      </c>
      <c r="AH100" s="364">
        <f t="shared" si="92"/>
        <v>0</v>
      </c>
      <c r="AI100" s="414">
        <f t="shared" si="83"/>
        <v>1720.93</v>
      </c>
      <c r="AJ100" s="184"/>
      <c r="AK100" s="225"/>
    </row>
    <row r="101" spans="2:38" ht="26.25" customHeight="1" x14ac:dyDescent="0.25">
      <c r="B101" s="404">
        <v>69</v>
      </c>
      <c r="C101" s="495" t="s">
        <v>331</v>
      </c>
      <c r="D101" s="362" t="s">
        <v>156</v>
      </c>
      <c r="E101" s="362"/>
      <c r="F101" s="362">
        <v>15</v>
      </c>
      <c r="G101" s="363">
        <v>78.733000000000004</v>
      </c>
      <c r="H101" s="364">
        <f t="shared" si="77"/>
        <v>1181</v>
      </c>
      <c r="I101" s="365">
        <v>0</v>
      </c>
      <c r="J101" s="365">
        <v>0</v>
      </c>
      <c r="K101" s="365">
        <v>0</v>
      </c>
      <c r="L101" s="364">
        <v>0</v>
      </c>
      <c r="M101" s="365">
        <v>0</v>
      </c>
      <c r="N101" s="364">
        <v>0</v>
      </c>
      <c r="O101" s="364">
        <f t="shared" si="84"/>
        <v>1181</v>
      </c>
      <c r="P101" s="366"/>
      <c r="Q101" s="364">
        <v>0</v>
      </c>
      <c r="R101" s="364">
        <f t="shared" si="85"/>
        <v>1181</v>
      </c>
      <c r="S101" s="364">
        <f t="shared" si="78"/>
        <v>318.01</v>
      </c>
      <c r="T101" s="364">
        <f>R101-S101</f>
        <v>862.99</v>
      </c>
      <c r="U101" s="367">
        <f t="shared" si="79"/>
        <v>6.4000000000000001E-2</v>
      </c>
      <c r="V101" s="364">
        <f t="shared" si="93"/>
        <v>55.231360000000002</v>
      </c>
      <c r="W101" s="364">
        <f t="shared" si="80"/>
        <v>6.15</v>
      </c>
      <c r="X101" s="364">
        <f t="shared" ref="X101:X108" si="103">V101+W101</f>
        <v>61.381360000000001</v>
      </c>
      <c r="Y101" s="364">
        <f t="shared" si="81"/>
        <v>200.7</v>
      </c>
      <c r="Z101" s="364">
        <f t="shared" si="94"/>
        <v>-139.32</v>
      </c>
      <c r="AA101" s="368"/>
      <c r="AB101" s="364">
        <f t="shared" si="95"/>
        <v>139.32</v>
      </c>
      <c r="AC101" s="364">
        <f t="shared" si="96"/>
        <v>0</v>
      </c>
      <c r="AD101" s="364">
        <v>0</v>
      </c>
      <c r="AE101" s="364">
        <v>0</v>
      </c>
      <c r="AF101" s="364">
        <v>0</v>
      </c>
      <c r="AG101" s="372">
        <v>0</v>
      </c>
      <c r="AH101" s="364">
        <f t="shared" si="92"/>
        <v>0</v>
      </c>
      <c r="AI101" s="414">
        <f t="shared" si="83"/>
        <v>1320.32</v>
      </c>
      <c r="AJ101" s="184"/>
      <c r="AK101" s="225"/>
    </row>
    <row r="102" spans="2:38" ht="20.25" customHeight="1" x14ac:dyDescent="0.25">
      <c r="B102" s="404">
        <v>70</v>
      </c>
      <c r="C102" s="495" t="s">
        <v>434</v>
      </c>
      <c r="D102" s="362" t="s">
        <v>148</v>
      </c>
      <c r="E102" s="369"/>
      <c r="F102" s="362">
        <v>15</v>
      </c>
      <c r="G102" s="363">
        <v>130.4</v>
      </c>
      <c r="H102" s="364">
        <f t="shared" si="77"/>
        <v>1956</v>
      </c>
      <c r="I102" s="365">
        <v>0</v>
      </c>
      <c r="J102" s="365">
        <v>0</v>
      </c>
      <c r="K102" s="365">
        <v>0</v>
      </c>
      <c r="L102" s="364">
        <v>0</v>
      </c>
      <c r="M102" s="365">
        <v>0</v>
      </c>
      <c r="N102" s="364">
        <v>0</v>
      </c>
      <c r="O102" s="364">
        <f t="shared" si="84"/>
        <v>1956</v>
      </c>
      <c r="P102" s="366"/>
      <c r="Q102" s="364">
        <v>0</v>
      </c>
      <c r="R102" s="364">
        <f t="shared" si="85"/>
        <v>1956</v>
      </c>
      <c r="S102" s="364">
        <f t="shared" si="78"/>
        <v>318.01</v>
      </c>
      <c r="T102" s="364">
        <f>R102-S102</f>
        <v>1637.99</v>
      </c>
      <c r="U102" s="367">
        <f t="shared" si="79"/>
        <v>6.4000000000000001E-2</v>
      </c>
      <c r="V102" s="364">
        <f t="shared" si="93"/>
        <v>104.83136</v>
      </c>
      <c r="W102" s="364">
        <f t="shared" si="80"/>
        <v>6.15</v>
      </c>
      <c r="X102" s="364">
        <f t="shared" si="103"/>
        <v>110.98136000000001</v>
      </c>
      <c r="Y102" s="364">
        <f t="shared" si="81"/>
        <v>188.7</v>
      </c>
      <c r="Z102" s="364">
        <f t="shared" si="94"/>
        <v>-77.72</v>
      </c>
      <c r="AA102" s="368"/>
      <c r="AB102" s="364">
        <f t="shared" si="95"/>
        <v>77.72</v>
      </c>
      <c r="AC102" s="364">
        <f t="shared" si="96"/>
        <v>0</v>
      </c>
      <c r="AD102" s="364">
        <v>0</v>
      </c>
      <c r="AE102" s="364">
        <v>0</v>
      </c>
      <c r="AF102" s="364">
        <v>0</v>
      </c>
      <c r="AG102" s="372">
        <v>0</v>
      </c>
      <c r="AH102" s="364">
        <f t="shared" si="92"/>
        <v>0</v>
      </c>
      <c r="AI102" s="414">
        <f t="shared" si="83"/>
        <v>2033.72</v>
      </c>
      <c r="AJ102" s="184"/>
      <c r="AK102" s="225"/>
    </row>
    <row r="103" spans="2:38" ht="20.25" customHeight="1" x14ac:dyDescent="0.25">
      <c r="B103" s="404">
        <v>71</v>
      </c>
      <c r="C103" s="495" t="s">
        <v>506</v>
      </c>
      <c r="D103" s="362" t="s">
        <v>134</v>
      </c>
      <c r="E103" s="369"/>
      <c r="F103" s="362">
        <v>15</v>
      </c>
      <c r="G103" s="363">
        <v>78.733000000000004</v>
      </c>
      <c r="H103" s="364">
        <f t="shared" si="77"/>
        <v>1181</v>
      </c>
      <c r="I103" s="365">
        <v>0</v>
      </c>
      <c r="J103" s="365">
        <v>0</v>
      </c>
      <c r="K103" s="365">
        <v>0</v>
      </c>
      <c r="L103" s="364">
        <v>0</v>
      </c>
      <c r="M103" s="365">
        <v>0</v>
      </c>
      <c r="N103" s="364">
        <v>0</v>
      </c>
      <c r="O103" s="364">
        <f t="shared" si="84"/>
        <v>1181</v>
      </c>
      <c r="P103" s="366"/>
      <c r="Q103" s="364">
        <v>0</v>
      </c>
      <c r="R103" s="364">
        <f t="shared" si="85"/>
        <v>1181</v>
      </c>
      <c r="S103" s="364">
        <f t="shared" si="78"/>
        <v>318.01</v>
      </c>
      <c r="T103" s="364">
        <f t="shared" ref="T103:T108" si="104">R103-S103</f>
        <v>862.99</v>
      </c>
      <c r="U103" s="367">
        <f t="shared" si="79"/>
        <v>6.4000000000000001E-2</v>
      </c>
      <c r="V103" s="364">
        <f t="shared" ref="V103:V104" si="105">T103*U103</f>
        <v>55.231360000000002</v>
      </c>
      <c r="W103" s="364">
        <f t="shared" si="80"/>
        <v>6.15</v>
      </c>
      <c r="X103" s="364">
        <f t="shared" si="103"/>
        <v>61.381360000000001</v>
      </c>
      <c r="Y103" s="364">
        <f t="shared" si="81"/>
        <v>200.7</v>
      </c>
      <c r="Z103" s="364">
        <f t="shared" ref="Z103:Z104" si="106">ROUND(X103-Y103,2)</f>
        <v>-139.32</v>
      </c>
      <c r="AA103" s="368"/>
      <c r="AB103" s="364">
        <f t="shared" ref="AB103:AB104" si="107">-IF(Z103&gt;0,0,Z103)</f>
        <v>139.32</v>
      </c>
      <c r="AC103" s="364">
        <f t="shared" ref="AC103:AC104" si="108">IF(Z103&lt;0,0,Z103)</f>
        <v>0</v>
      </c>
      <c r="AD103" s="364">
        <v>0</v>
      </c>
      <c r="AE103" s="364">
        <v>0</v>
      </c>
      <c r="AF103" s="364">
        <v>0</v>
      </c>
      <c r="AG103" s="372">
        <v>0</v>
      </c>
      <c r="AH103" s="364">
        <f t="shared" si="92"/>
        <v>0</v>
      </c>
      <c r="AI103" s="414">
        <f t="shared" si="83"/>
        <v>1320.32</v>
      </c>
      <c r="AJ103" s="184"/>
      <c r="AK103" s="225"/>
    </row>
    <row r="104" spans="2:38" ht="20.25" customHeight="1" x14ac:dyDescent="0.25">
      <c r="B104" s="404">
        <v>72</v>
      </c>
      <c r="C104" s="495" t="s">
        <v>381</v>
      </c>
      <c r="D104" s="362" t="s">
        <v>134</v>
      </c>
      <c r="E104" s="369"/>
      <c r="F104" s="362">
        <v>15</v>
      </c>
      <c r="G104" s="363">
        <v>78.733000000000004</v>
      </c>
      <c r="H104" s="364">
        <f t="shared" si="77"/>
        <v>1181</v>
      </c>
      <c r="I104" s="365">
        <v>0</v>
      </c>
      <c r="J104" s="365">
        <v>0</v>
      </c>
      <c r="K104" s="365">
        <v>0</v>
      </c>
      <c r="L104" s="364">
        <v>0</v>
      </c>
      <c r="M104" s="365">
        <v>0</v>
      </c>
      <c r="N104" s="364">
        <v>0</v>
      </c>
      <c r="O104" s="364">
        <f t="shared" si="84"/>
        <v>1181</v>
      </c>
      <c r="P104" s="366"/>
      <c r="Q104" s="364">
        <v>0</v>
      </c>
      <c r="R104" s="364">
        <f t="shared" si="85"/>
        <v>1181</v>
      </c>
      <c r="S104" s="364">
        <f t="shared" si="78"/>
        <v>318.01</v>
      </c>
      <c r="T104" s="364">
        <f t="shared" si="104"/>
        <v>862.99</v>
      </c>
      <c r="U104" s="367">
        <f t="shared" si="79"/>
        <v>6.4000000000000001E-2</v>
      </c>
      <c r="V104" s="364">
        <f t="shared" si="105"/>
        <v>55.231360000000002</v>
      </c>
      <c r="W104" s="364">
        <f t="shared" si="80"/>
        <v>6.15</v>
      </c>
      <c r="X104" s="364">
        <f t="shared" si="103"/>
        <v>61.381360000000001</v>
      </c>
      <c r="Y104" s="364">
        <f t="shared" si="81"/>
        <v>200.7</v>
      </c>
      <c r="Z104" s="364">
        <f t="shared" si="106"/>
        <v>-139.32</v>
      </c>
      <c r="AA104" s="368"/>
      <c r="AB104" s="364">
        <f t="shared" si="107"/>
        <v>139.32</v>
      </c>
      <c r="AC104" s="364">
        <f t="shared" si="108"/>
        <v>0</v>
      </c>
      <c r="AD104" s="364">
        <v>0</v>
      </c>
      <c r="AE104" s="364">
        <v>0</v>
      </c>
      <c r="AF104" s="364">
        <v>0</v>
      </c>
      <c r="AG104" s="372">
        <v>0</v>
      </c>
      <c r="AH104" s="364">
        <f t="shared" si="92"/>
        <v>0</v>
      </c>
      <c r="AI104" s="414">
        <f t="shared" si="83"/>
        <v>1320.32</v>
      </c>
      <c r="AJ104" s="184"/>
      <c r="AK104" s="225"/>
    </row>
    <row r="105" spans="2:38" ht="20.25" customHeight="1" x14ac:dyDescent="0.25">
      <c r="B105" s="404">
        <v>73</v>
      </c>
      <c r="C105" s="495" t="s">
        <v>461</v>
      </c>
      <c r="D105" s="362" t="s">
        <v>147</v>
      </c>
      <c r="E105" s="369"/>
      <c r="F105" s="362">
        <v>15</v>
      </c>
      <c r="G105" s="363">
        <v>170.733</v>
      </c>
      <c r="H105" s="364">
        <f t="shared" si="77"/>
        <v>2561</v>
      </c>
      <c r="I105" s="365">
        <v>0</v>
      </c>
      <c r="J105" s="365">
        <v>0</v>
      </c>
      <c r="K105" s="365">
        <v>0</v>
      </c>
      <c r="L105" s="364">
        <v>0</v>
      </c>
      <c r="M105" s="365">
        <v>0</v>
      </c>
      <c r="N105" s="364">
        <v>0</v>
      </c>
      <c r="O105" s="364">
        <f t="shared" si="84"/>
        <v>2561</v>
      </c>
      <c r="P105" s="366"/>
      <c r="Q105" s="364">
        <v>0</v>
      </c>
      <c r="R105" s="364">
        <f t="shared" si="85"/>
        <v>2561</v>
      </c>
      <c r="S105" s="364">
        <f t="shared" si="78"/>
        <v>318.01</v>
      </c>
      <c r="T105" s="364">
        <f t="shared" si="104"/>
        <v>2242.9899999999998</v>
      </c>
      <c r="U105" s="367">
        <f t="shared" si="79"/>
        <v>6.4000000000000001E-2</v>
      </c>
      <c r="V105" s="364">
        <f>T105*U105</f>
        <v>143.55135999999999</v>
      </c>
      <c r="W105" s="364">
        <f t="shared" si="80"/>
        <v>6.15</v>
      </c>
      <c r="X105" s="364">
        <f t="shared" si="103"/>
        <v>149.70135999999999</v>
      </c>
      <c r="Y105" s="364">
        <f t="shared" si="81"/>
        <v>160.35</v>
      </c>
      <c r="Z105" s="364">
        <f>ROUND(X105-Y105,2)</f>
        <v>-10.65</v>
      </c>
      <c r="AA105" s="368"/>
      <c r="AB105" s="364">
        <f>-IF(Z105&gt;0,0,Z105)</f>
        <v>10.65</v>
      </c>
      <c r="AC105" s="364">
        <f>IF(Z105&lt;0,0,Z105)</f>
        <v>0</v>
      </c>
      <c r="AD105" s="364">
        <v>0</v>
      </c>
      <c r="AE105" s="364">
        <v>0</v>
      </c>
      <c r="AF105" s="364">
        <v>0</v>
      </c>
      <c r="AG105" s="372">
        <v>0</v>
      </c>
      <c r="AH105" s="364">
        <f t="shared" si="92"/>
        <v>0</v>
      </c>
      <c r="AI105" s="414">
        <f t="shared" si="83"/>
        <v>2571.65</v>
      </c>
      <c r="AJ105" s="184"/>
      <c r="AK105" s="225"/>
    </row>
    <row r="106" spans="2:38" ht="20.25" customHeight="1" x14ac:dyDescent="0.25">
      <c r="B106" s="404">
        <v>74</v>
      </c>
      <c r="C106" s="495" t="s">
        <v>393</v>
      </c>
      <c r="D106" s="362" t="s">
        <v>115</v>
      </c>
      <c r="E106" s="369"/>
      <c r="F106" s="362">
        <v>15</v>
      </c>
      <c r="G106" s="363">
        <v>153.333</v>
      </c>
      <c r="H106" s="364">
        <f t="shared" si="77"/>
        <v>2300</v>
      </c>
      <c r="I106" s="365">
        <v>0</v>
      </c>
      <c r="J106" s="365">
        <v>0</v>
      </c>
      <c r="K106" s="365">
        <v>0</v>
      </c>
      <c r="L106" s="364">
        <v>0</v>
      </c>
      <c r="M106" s="365">
        <v>0</v>
      </c>
      <c r="N106" s="364">
        <v>0</v>
      </c>
      <c r="O106" s="364">
        <f t="shared" si="84"/>
        <v>2300</v>
      </c>
      <c r="P106" s="366"/>
      <c r="Q106" s="364">
        <v>0</v>
      </c>
      <c r="R106" s="364">
        <f t="shared" si="85"/>
        <v>2300</v>
      </c>
      <c r="S106" s="364">
        <f t="shared" si="78"/>
        <v>318.01</v>
      </c>
      <c r="T106" s="364">
        <f t="shared" si="104"/>
        <v>1981.99</v>
      </c>
      <c r="U106" s="367">
        <f t="shared" si="79"/>
        <v>6.4000000000000001E-2</v>
      </c>
      <c r="V106" s="364">
        <f t="shared" ref="V106:V108" si="109">T106*U106</f>
        <v>126.84736000000001</v>
      </c>
      <c r="W106" s="364">
        <f t="shared" si="80"/>
        <v>6.15</v>
      </c>
      <c r="X106" s="364">
        <f t="shared" si="103"/>
        <v>132.99736000000001</v>
      </c>
      <c r="Y106" s="364">
        <f t="shared" si="81"/>
        <v>174.75</v>
      </c>
      <c r="Z106" s="364">
        <f t="shared" ref="Z106:Z108" si="110">ROUND(X106-Y106,2)</f>
        <v>-41.75</v>
      </c>
      <c r="AA106" s="368"/>
      <c r="AB106" s="364">
        <f t="shared" ref="AB106:AB108" si="111">-IF(Z106&gt;0,0,Z106)</f>
        <v>41.75</v>
      </c>
      <c r="AC106" s="364">
        <f t="shared" ref="AC106:AC108" si="112">IF(Z106&lt;0,0,Z106)</f>
        <v>0</v>
      </c>
      <c r="AD106" s="364">
        <v>0</v>
      </c>
      <c r="AE106" s="364">
        <v>0</v>
      </c>
      <c r="AF106" s="364">
        <v>0</v>
      </c>
      <c r="AG106" s="372">
        <v>0</v>
      </c>
      <c r="AH106" s="364">
        <f t="shared" si="92"/>
        <v>0</v>
      </c>
      <c r="AI106" s="414">
        <f t="shared" si="83"/>
        <v>2341.75</v>
      </c>
      <c r="AJ106" s="184"/>
      <c r="AK106" s="225"/>
    </row>
    <row r="107" spans="2:38" ht="24.75" customHeight="1" x14ac:dyDescent="0.25">
      <c r="B107" s="404">
        <v>75</v>
      </c>
      <c r="C107" s="495" t="s">
        <v>427</v>
      </c>
      <c r="D107" s="318" t="s">
        <v>238</v>
      </c>
      <c r="E107" s="369"/>
      <c r="F107" s="362">
        <v>15</v>
      </c>
      <c r="G107" s="363">
        <v>78.733000000000004</v>
      </c>
      <c r="H107" s="364">
        <f t="shared" si="77"/>
        <v>1181</v>
      </c>
      <c r="I107" s="365">
        <v>0</v>
      </c>
      <c r="J107" s="365">
        <v>0</v>
      </c>
      <c r="K107" s="365">
        <v>0</v>
      </c>
      <c r="L107" s="364">
        <v>0</v>
      </c>
      <c r="M107" s="365">
        <v>0</v>
      </c>
      <c r="N107" s="364">
        <v>0</v>
      </c>
      <c r="O107" s="364">
        <f t="shared" si="84"/>
        <v>1181</v>
      </c>
      <c r="P107" s="366"/>
      <c r="Q107" s="364">
        <v>0</v>
      </c>
      <c r="R107" s="364">
        <f t="shared" si="85"/>
        <v>1181</v>
      </c>
      <c r="S107" s="364">
        <f t="shared" si="78"/>
        <v>318.01</v>
      </c>
      <c r="T107" s="364">
        <f t="shared" si="104"/>
        <v>862.99</v>
      </c>
      <c r="U107" s="367">
        <f t="shared" si="79"/>
        <v>6.4000000000000001E-2</v>
      </c>
      <c r="V107" s="364">
        <f t="shared" si="109"/>
        <v>55.231360000000002</v>
      </c>
      <c r="W107" s="364">
        <f t="shared" si="80"/>
        <v>6.15</v>
      </c>
      <c r="X107" s="364">
        <f t="shared" si="103"/>
        <v>61.381360000000001</v>
      </c>
      <c r="Y107" s="364">
        <f t="shared" si="81"/>
        <v>200.7</v>
      </c>
      <c r="Z107" s="364">
        <f t="shared" si="110"/>
        <v>-139.32</v>
      </c>
      <c r="AA107" s="368"/>
      <c r="AB107" s="364">
        <f t="shared" si="111"/>
        <v>139.32</v>
      </c>
      <c r="AC107" s="364">
        <f t="shared" si="112"/>
        <v>0</v>
      </c>
      <c r="AD107" s="364">
        <v>0</v>
      </c>
      <c r="AE107" s="364">
        <v>0</v>
      </c>
      <c r="AF107" s="364">
        <v>0</v>
      </c>
      <c r="AG107" s="372">
        <v>0</v>
      </c>
      <c r="AH107" s="364">
        <f t="shared" si="92"/>
        <v>0</v>
      </c>
      <c r="AI107" s="414">
        <f t="shared" si="83"/>
        <v>1320.32</v>
      </c>
      <c r="AJ107" s="184"/>
      <c r="AK107" s="225"/>
    </row>
    <row r="108" spans="2:38" ht="24.75" customHeight="1" x14ac:dyDescent="0.25">
      <c r="B108" s="404">
        <v>76</v>
      </c>
      <c r="C108" s="495" t="s">
        <v>533</v>
      </c>
      <c r="D108" s="318" t="s">
        <v>120</v>
      </c>
      <c r="E108" s="387"/>
      <c r="F108" s="362">
        <v>15</v>
      </c>
      <c r="G108" s="374">
        <v>165.65</v>
      </c>
      <c r="H108" s="364">
        <f>G108*F108</f>
        <v>2484.75</v>
      </c>
      <c r="I108" s="365">
        <v>0</v>
      </c>
      <c r="J108" s="365">
        <v>0</v>
      </c>
      <c r="K108" s="365">
        <v>0</v>
      </c>
      <c r="L108" s="364">
        <v>0</v>
      </c>
      <c r="M108" s="365">
        <v>0</v>
      </c>
      <c r="N108" s="364">
        <v>0</v>
      </c>
      <c r="O108" s="364">
        <f t="shared" si="84"/>
        <v>2484.75</v>
      </c>
      <c r="P108" s="366"/>
      <c r="Q108" s="364">
        <v>0</v>
      </c>
      <c r="R108" s="364">
        <f t="shared" si="85"/>
        <v>2484.75</v>
      </c>
      <c r="S108" s="364">
        <f t="shared" si="78"/>
        <v>318.01</v>
      </c>
      <c r="T108" s="364">
        <f t="shared" si="104"/>
        <v>2166.7399999999998</v>
      </c>
      <c r="U108" s="367">
        <f t="shared" si="79"/>
        <v>6.4000000000000001E-2</v>
      </c>
      <c r="V108" s="364">
        <f t="shared" si="109"/>
        <v>138.67135999999999</v>
      </c>
      <c r="W108" s="364">
        <f t="shared" si="80"/>
        <v>6.15</v>
      </c>
      <c r="X108" s="364">
        <f t="shared" si="103"/>
        <v>144.82136</v>
      </c>
      <c r="Y108" s="364">
        <f t="shared" si="81"/>
        <v>160.35</v>
      </c>
      <c r="Z108" s="364">
        <f t="shared" si="110"/>
        <v>-15.53</v>
      </c>
      <c r="AA108" s="368"/>
      <c r="AB108" s="364">
        <f t="shared" si="111"/>
        <v>15.53</v>
      </c>
      <c r="AC108" s="364">
        <f t="shared" si="112"/>
        <v>0</v>
      </c>
      <c r="AD108" s="364">
        <v>0</v>
      </c>
      <c r="AE108" s="364">
        <v>0</v>
      </c>
      <c r="AF108" s="364">
        <v>0</v>
      </c>
      <c r="AG108" s="372">
        <v>0</v>
      </c>
      <c r="AH108" s="364">
        <f t="shared" si="92"/>
        <v>0</v>
      </c>
      <c r="AI108" s="414">
        <f t="shared" si="83"/>
        <v>2500.2800000000002</v>
      </c>
      <c r="AJ108" s="184"/>
      <c r="AK108" s="225"/>
    </row>
    <row r="109" spans="2:38" ht="21.75" customHeight="1" x14ac:dyDescent="0.25">
      <c r="B109" s="404"/>
      <c r="C109" s="495"/>
      <c r="D109" s="370" t="s">
        <v>111</v>
      </c>
      <c r="E109" s="570"/>
      <c r="F109" s="571"/>
      <c r="G109" s="572"/>
      <c r="H109" s="371">
        <f t="shared" ref="H109:AI109" si="113">SUM(H94:H108)</f>
        <v>27302.799999999999</v>
      </c>
      <c r="I109" s="371">
        <f t="shared" si="113"/>
        <v>0</v>
      </c>
      <c r="J109" s="371">
        <f t="shared" si="113"/>
        <v>0</v>
      </c>
      <c r="K109" s="371">
        <f t="shared" si="113"/>
        <v>0</v>
      </c>
      <c r="L109" s="371">
        <f t="shared" si="113"/>
        <v>0</v>
      </c>
      <c r="M109" s="371">
        <f t="shared" si="113"/>
        <v>0</v>
      </c>
      <c r="N109" s="371">
        <f t="shared" si="113"/>
        <v>0</v>
      </c>
      <c r="O109" s="371">
        <f t="shared" si="113"/>
        <v>27302.799999999999</v>
      </c>
      <c r="P109" s="371">
        <f t="shared" si="113"/>
        <v>0</v>
      </c>
      <c r="Q109" s="371">
        <f t="shared" si="113"/>
        <v>0</v>
      </c>
      <c r="R109" s="371">
        <f t="shared" si="113"/>
        <v>27302.799999999999</v>
      </c>
      <c r="S109" s="371">
        <f t="shared" si="113"/>
        <v>7151.550000000002</v>
      </c>
      <c r="T109" s="371">
        <f t="shared" si="113"/>
        <v>20151.25</v>
      </c>
      <c r="U109" s="371">
        <f t="shared" si="113"/>
        <v>1.0048000000000004</v>
      </c>
      <c r="V109" s="371">
        <f t="shared" si="113"/>
        <v>1359.818432</v>
      </c>
      <c r="W109" s="371">
        <f t="shared" si="113"/>
        <v>244.65000000000006</v>
      </c>
      <c r="X109" s="371">
        <f t="shared" si="113"/>
        <v>1604.4684320000003</v>
      </c>
      <c r="Y109" s="371">
        <f t="shared" si="113"/>
        <v>2691.15</v>
      </c>
      <c r="Z109" s="371">
        <f t="shared" si="113"/>
        <v>-1086.69</v>
      </c>
      <c r="AA109" s="371">
        <f t="shared" si="113"/>
        <v>0</v>
      </c>
      <c r="AB109" s="371">
        <f t="shared" si="113"/>
        <v>1415.58</v>
      </c>
      <c r="AC109" s="371">
        <f t="shared" si="113"/>
        <v>328.89</v>
      </c>
      <c r="AD109" s="371">
        <f t="shared" si="113"/>
        <v>0</v>
      </c>
      <c r="AE109" s="371">
        <f t="shared" si="113"/>
        <v>0</v>
      </c>
      <c r="AF109" s="371">
        <f t="shared" si="113"/>
        <v>0</v>
      </c>
      <c r="AG109" s="371">
        <f t="shared" si="113"/>
        <v>0</v>
      </c>
      <c r="AH109" s="371">
        <f t="shared" si="113"/>
        <v>328.89</v>
      </c>
      <c r="AI109" s="415">
        <f t="shared" si="113"/>
        <v>28389.489999999998</v>
      </c>
      <c r="AJ109" s="164"/>
      <c r="AK109" s="225"/>
      <c r="AL109" s="108">
        <f>O109+AB109-AH109</f>
        <v>28389.489999999998</v>
      </c>
    </row>
    <row r="110" spans="2:38" ht="21.75" customHeight="1" x14ac:dyDescent="0.25">
      <c r="B110" s="589" t="s">
        <v>131</v>
      </c>
      <c r="C110" s="589"/>
      <c r="D110" s="589"/>
      <c r="E110" s="589"/>
      <c r="F110" s="589"/>
      <c r="G110" s="589"/>
      <c r="H110" s="589"/>
      <c r="I110" s="589"/>
      <c r="J110" s="589"/>
      <c r="K110" s="589"/>
      <c r="L110" s="589"/>
      <c r="M110" s="589"/>
      <c r="N110" s="589"/>
      <c r="O110" s="589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225"/>
    </row>
    <row r="111" spans="2:38" ht="21.75" customHeight="1" x14ac:dyDescent="0.25">
      <c r="B111" s="404">
        <v>77</v>
      </c>
      <c r="C111" s="495" t="s">
        <v>351</v>
      </c>
      <c r="D111" s="362" t="s">
        <v>149</v>
      </c>
      <c r="E111" s="369"/>
      <c r="F111" s="362">
        <v>15</v>
      </c>
      <c r="G111" s="363">
        <v>118.133</v>
      </c>
      <c r="H111" s="364">
        <f t="shared" ref="H111:H126" si="114">ROUND(F111*G111,2)</f>
        <v>1772</v>
      </c>
      <c r="I111" s="365">
        <v>0</v>
      </c>
      <c r="J111" s="365">
        <v>0</v>
      </c>
      <c r="K111" s="365">
        <v>0</v>
      </c>
      <c r="L111" s="365">
        <v>0</v>
      </c>
      <c r="M111" s="365">
        <v>0</v>
      </c>
      <c r="N111" s="365">
        <v>0</v>
      </c>
      <c r="O111" s="364">
        <f t="shared" ref="O111:O126" si="115">SUM(H111:N111)</f>
        <v>1772</v>
      </c>
      <c r="P111" s="366"/>
      <c r="Q111" s="364">
        <f>IF(G111=47.16,0,IF(G111&gt;47.16,L111*0.5,0))</f>
        <v>0</v>
      </c>
      <c r="R111" s="364">
        <f t="shared" ref="R111:R126" si="116">H111+I111+J111+M111+Q111+K111</f>
        <v>1772</v>
      </c>
      <c r="S111" s="364">
        <f t="shared" ref="S111:S126" si="117">VLOOKUP(R111,TARIFA1,1)</f>
        <v>318.01</v>
      </c>
      <c r="T111" s="364">
        <f t="shared" ref="T111:T126" si="118">R111-S111</f>
        <v>1453.99</v>
      </c>
      <c r="U111" s="367">
        <f t="shared" ref="U111:U126" si="119">VLOOKUP(R111,TARIFA1,3)</f>
        <v>6.4000000000000001E-2</v>
      </c>
      <c r="V111" s="364">
        <f t="shared" ref="V111:V126" si="120">T111*U111</f>
        <v>93.055360000000007</v>
      </c>
      <c r="W111" s="364">
        <f t="shared" ref="W111:W126" si="121">VLOOKUP(R111,TARIFA1,2)</f>
        <v>6.15</v>
      </c>
      <c r="X111" s="364">
        <f t="shared" ref="X111:X126" si="122">V111+W111</f>
        <v>99.205360000000013</v>
      </c>
      <c r="Y111" s="364">
        <f t="shared" ref="Y111:Y126" si="123">VLOOKUP(R111,Credito1,2)</f>
        <v>188.7</v>
      </c>
      <c r="Z111" s="364">
        <f t="shared" ref="Z111:Z126" si="124">ROUND(X111-Y111,2)</f>
        <v>-89.49</v>
      </c>
      <c r="AA111" s="368"/>
      <c r="AB111" s="364">
        <f t="shared" ref="AB111:AB126" si="125">-IF(Z111&gt;0,0,Z111)</f>
        <v>89.49</v>
      </c>
      <c r="AC111" s="364">
        <f t="shared" ref="AC111:AC126" si="126">IF(Z111&lt;0,0,Z111)</f>
        <v>0</v>
      </c>
      <c r="AD111" s="364">
        <v>0</v>
      </c>
      <c r="AE111" s="365">
        <v>0</v>
      </c>
      <c r="AF111" s="365">
        <v>0</v>
      </c>
      <c r="AG111" s="372">
        <v>0</v>
      </c>
      <c r="AH111" s="364">
        <f t="shared" ref="AH111:AH126" si="127">SUM(AC111:AG111)</f>
        <v>0</v>
      </c>
      <c r="AI111" s="414">
        <f>O111+AB111-AH111</f>
        <v>1861.49</v>
      </c>
      <c r="AJ111" s="184"/>
      <c r="AK111" s="225"/>
    </row>
    <row r="112" spans="2:38" ht="21.75" customHeight="1" x14ac:dyDescent="0.25">
      <c r="B112" s="404">
        <v>78</v>
      </c>
      <c r="C112" s="495" t="s">
        <v>453</v>
      </c>
      <c r="D112" s="362" t="s">
        <v>243</v>
      </c>
      <c r="E112" s="369"/>
      <c r="F112" s="362">
        <v>15</v>
      </c>
      <c r="G112" s="363">
        <v>78.8</v>
      </c>
      <c r="H112" s="364">
        <f t="shared" si="114"/>
        <v>1182</v>
      </c>
      <c r="I112" s="365">
        <v>0</v>
      </c>
      <c r="J112" s="365">
        <v>0</v>
      </c>
      <c r="K112" s="365">
        <v>0</v>
      </c>
      <c r="L112" s="365">
        <v>0</v>
      </c>
      <c r="M112" s="365">
        <v>0</v>
      </c>
      <c r="N112" s="365">
        <v>0</v>
      </c>
      <c r="O112" s="364">
        <f t="shared" si="115"/>
        <v>1182</v>
      </c>
      <c r="P112" s="366"/>
      <c r="Q112" s="364">
        <v>0</v>
      </c>
      <c r="R112" s="364">
        <f t="shared" si="116"/>
        <v>1182</v>
      </c>
      <c r="S112" s="364">
        <f t="shared" si="117"/>
        <v>318.01</v>
      </c>
      <c r="T112" s="364">
        <f t="shared" si="118"/>
        <v>863.99</v>
      </c>
      <c r="U112" s="367">
        <f t="shared" si="119"/>
        <v>6.4000000000000001E-2</v>
      </c>
      <c r="V112" s="364">
        <f t="shared" si="120"/>
        <v>55.295360000000002</v>
      </c>
      <c r="W112" s="364">
        <f t="shared" si="121"/>
        <v>6.15</v>
      </c>
      <c r="X112" s="364">
        <f t="shared" si="122"/>
        <v>61.445360000000001</v>
      </c>
      <c r="Y112" s="364">
        <f t="shared" si="123"/>
        <v>200.7</v>
      </c>
      <c r="Z112" s="364">
        <f t="shared" si="124"/>
        <v>-139.25</v>
      </c>
      <c r="AA112" s="368"/>
      <c r="AB112" s="364">
        <f t="shared" si="125"/>
        <v>139.25</v>
      </c>
      <c r="AC112" s="364">
        <f t="shared" si="126"/>
        <v>0</v>
      </c>
      <c r="AD112" s="364">
        <v>0</v>
      </c>
      <c r="AE112" s="365">
        <v>0</v>
      </c>
      <c r="AF112" s="365">
        <v>0</v>
      </c>
      <c r="AG112" s="372">
        <v>0</v>
      </c>
      <c r="AH112" s="364">
        <f t="shared" si="127"/>
        <v>0</v>
      </c>
      <c r="AI112" s="414">
        <f t="shared" ref="AI112:AI126" si="128">O112+AB112-AH112</f>
        <v>1321.25</v>
      </c>
      <c r="AJ112" s="184"/>
      <c r="AK112" s="225"/>
    </row>
    <row r="113" spans="1:38" ht="21.75" customHeight="1" x14ac:dyDescent="0.25">
      <c r="A113" s="100">
        <v>82</v>
      </c>
      <c r="B113" s="404">
        <v>79</v>
      </c>
      <c r="C113" s="495" t="s">
        <v>330</v>
      </c>
      <c r="D113" s="362" t="s">
        <v>243</v>
      </c>
      <c r="E113" s="369"/>
      <c r="F113" s="362">
        <v>15</v>
      </c>
      <c r="G113" s="363">
        <v>78.8</v>
      </c>
      <c r="H113" s="364">
        <f t="shared" si="114"/>
        <v>1182</v>
      </c>
      <c r="I113" s="365">
        <v>0</v>
      </c>
      <c r="J113" s="365">
        <v>0</v>
      </c>
      <c r="K113" s="365">
        <v>0</v>
      </c>
      <c r="L113" s="365">
        <v>0</v>
      </c>
      <c r="M113" s="365">
        <v>0</v>
      </c>
      <c r="N113" s="365">
        <v>0</v>
      </c>
      <c r="O113" s="364">
        <f t="shared" si="115"/>
        <v>1182</v>
      </c>
      <c r="P113" s="366"/>
      <c r="Q113" s="364">
        <f t="shared" ref="Q113:Q125" si="129">IF(G113=47.16,0,IF(G113&gt;47.16,L113*0.5,0))</f>
        <v>0</v>
      </c>
      <c r="R113" s="364">
        <f t="shared" si="116"/>
        <v>1182</v>
      </c>
      <c r="S113" s="364">
        <f t="shared" si="117"/>
        <v>318.01</v>
      </c>
      <c r="T113" s="364">
        <f t="shared" si="118"/>
        <v>863.99</v>
      </c>
      <c r="U113" s="367">
        <f t="shared" si="119"/>
        <v>6.4000000000000001E-2</v>
      </c>
      <c r="V113" s="364">
        <f t="shared" si="120"/>
        <v>55.295360000000002</v>
      </c>
      <c r="W113" s="364">
        <f t="shared" si="121"/>
        <v>6.15</v>
      </c>
      <c r="X113" s="364">
        <f t="shared" si="122"/>
        <v>61.445360000000001</v>
      </c>
      <c r="Y113" s="364">
        <f t="shared" si="123"/>
        <v>200.7</v>
      </c>
      <c r="Z113" s="364">
        <f t="shared" si="124"/>
        <v>-139.25</v>
      </c>
      <c r="AA113" s="368"/>
      <c r="AB113" s="364">
        <f t="shared" si="125"/>
        <v>139.25</v>
      </c>
      <c r="AC113" s="364">
        <f t="shared" si="126"/>
        <v>0</v>
      </c>
      <c r="AD113" s="364">
        <v>0</v>
      </c>
      <c r="AE113" s="365">
        <v>0</v>
      </c>
      <c r="AF113" s="365">
        <v>0</v>
      </c>
      <c r="AG113" s="372">
        <v>0</v>
      </c>
      <c r="AH113" s="364">
        <f t="shared" si="127"/>
        <v>0</v>
      </c>
      <c r="AI113" s="414">
        <f t="shared" si="128"/>
        <v>1321.25</v>
      </c>
      <c r="AJ113" s="184"/>
      <c r="AK113" s="225"/>
    </row>
    <row r="114" spans="1:38" ht="21.75" customHeight="1" x14ac:dyDescent="0.25">
      <c r="B114" s="404">
        <v>80</v>
      </c>
      <c r="C114" s="495" t="s">
        <v>455</v>
      </c>
      <c r="D114" s="362" t="s">
        <v>244</v>
      </c>
      <c r="E114" s="369"/>
      <c r="F114" s="362">
        <v>15</v>
      </c>
      <c r="G114" s="363">
        <v>100</v>
      </c>
      <c r="H114" s="364">
        <f t="shared" si="114"/>
        <v>1500</v>
      </c>
      <c r="I114" s="365">
        <v>0</v>
      </c>
      <c r="J114" s="365">
        <v>0</v>
      </c>
      <c r="K114" s="365">
        <v>0</v>
      </c>
      <c r="L114" s="365">
        <v>0</v>
      </c>
      <c r="M114" s="365">
        <v>0</v>
      </c>
      <c r="N114" s="365">
        <v>0</v>
      </c>
      <c r="O114" s="364">
        <f t="shared" si="115"/>
        <v>1500</v>
      </c>
      <c r="P114" s="366"/>
      <c r="Q114" s="364">
        <f t="shared" si="129"/>
        <v>0</v>
      </c>
      <c r="R114" s="364">
        <f t="shared" si="116"/>
        <v>1500</v>
      </c>
      <c r="S114" s="364">
        <f t="shared" si="117"/>
        <v>318.01</v>
      </c>
      <c r="T114" s="364">
        <f t="shared" si="118"/>
        <v>1181.99</v>
      </c>
      <c r="U114" s="367">
        <f t="shared" si="119"/>
        <v>6.4000000000000001E-2</v>
      </c>
      <c r="V114" s="364">
        <f t="shared" si="120"/>
        <v>75.647360000000006</v>
      </c>
      <c r="W114" s="364">
        <f t="shared" si="121"/>
        <v>6.15</v>
      </c>
      <c r="X114" s="364">
        <f t="shared" si="122"/>
        <v>81.797360000000012</v>
      </c>
      <c r="Y114" s="364">
        <f t="shared" si="123"/>
        <v>200.7</v>
      </c>
      <c r="Z114" s="364">
        <f t="shared" si="124"/>
        <v>-118.9</v>
      </c>
      <c r="AA114" s="368"/>
      <c r="AB114" s="364">
        <f t="shared" si="125"/>
        <v>118.9</v>
      </c>
      <c r="AC114" s="364">
        <f t="shared" si="126"/>
        <v>0</v>
      </c>
      <c r="AD114" s="364">
        <v>0</v>
      </c>
      <c r="AE114" s="365">
        <v>0</v>
      </c>
      <c r="AF114" s="365">
        <v>0</v>
      </c>
      <c r="AG114" s="372">
        <v>0</v>
      </c>
      <c r="AH114" s="364">
        <f t="shared" si="127"/>
        <v>0</v>
      </c>
      <c r="AI114" s="414">
        <f t="shared" si="128"/>
        <v>1618.9</v>
      </c>
      <c r="AJ114" s="184"/>
      <c r="AK114" s="225"/>
    </row>
    <row r="115" spans="1:38" ht="21.75" customHeight="1" x14ac:dyDescent="0.25">
      <c r="B115" s="404">
        <v>81</v>
      </c>
      <c r="C115" s="495" t="s">
        <v>481</v>
      </c>
      <c r="D115" s="362" t="s">
        <v>147</v>
      </c>
      <c r="E115" s="369"/>
      <c r="F115" s="362">
        <v>15</v>
      </c>
      <c r="G115" s="363">
        <v>170.733</v>
      </c>
      <c r="H115" s="364">
        <f t="shared" si="114"/>
        <v>2561</v>
      </c>
      <c r="I115" s="365">
        <v>0</v>
      </c>
      <c r="J115" s="365">
        <v>0</v>
      </c>
      <c r="K115" s="365">
        <v>0</v>
      </c>
      <c r="L115" s="365">
        <v>0</v>
      </c>
      <c r="M115" s="365">
        <v>0</v>
      </c>
      <c r="N115" s="365">
        <v>0</v>
      </c>
      <c r="O115" s="364">
        <f t="shared" si="115"/>
        <v>2561</v>
      </c>
      <c r="P115" s="366"/>
      <c r="Q115" s="364">
        <f t="shared" si="129"/>
        <v>0</v>
      </c>
      <c r="R115" s="364">
        <f t="shared" si="116"/>
        <v>2561</v>
      </c>
      <c r="S115" s="364">
        <f t="shared" si="117"/>
        <v>318.01</v>
      </c>
      <c r="T115" s="364">
        <f t="shared" si="118"/>
        <v>2242.9899999999998</v>
      </c>
      <c r="U115" s="367">
        <f t="shared" si="119"/>
        <v>6.4000000000000001E-2</v>
      </c>
      <c r="V115" s="364">
        <f t="shared" si="120"/>
        <v>143.55135999999999</v>
      </c>
      <c r="W115" s="364">
        <f t="shared" si="121"/>
        <v>6.15</v>
      </c>
      <c r="X115" s="364">
        <f t="shared" si="122"/>
        <v>149.70135999999999</v>
      </c>
      <c r="Y115" s="364">
        <f t="shared" si="123"/>
        <v>160.35</v>
      </c>
      <c r="Z115" s="364">
        <f t="shared" si="124"/>
        <v>-10.65</v>
      </c>
      <c r="AA115" s="368"/>
      <c r="AB115" s="364">
        <f t="shared" si="125"/>
        <v>10.65</v>
      </c>
      <c r="AC115" s="364">
        <f t="shared" si="126"/>
        <v>0</v>
      </c>
      <c r="AD115" s="364">
        <v>0</v>
      </c>
      <c r="AE115" s="365">
        <v>0</v>
      </c>
      <c r="AF115" s="365">
        <v>0</v>
      </c>
      <c r="AG115" s="372">
        <v>0</v>
      </c>
      <c r="AH115" s="364">
        <f t="shared" si="127"/>
        <v>0</v>
      </c>
      <c r="AI115" s="414">
        <f t="shared" si="128"/>
        <v>2571.65</v>
      </c>
      <c r="AJ115" s="184"/>
      <c r="AK115" s="225"/>
    </row>
    <row r="116" spans="1:38" ht="21.75" customHeight="1" x14ac:dyDescent="0.25">
      <c r="B116" s="404">
        <v>82</v>
      </c>
      <c r="C116" s="495" t="s">
        <v>371</v>
      </c>
      <c r="D116" s="362" t="s">
        <v>147</v>
      </c>
      <c r="E116" s="369"/>
      <c r="F116" s="362">
        <v>15</v>
      </c>
      <c r="G116" s="363">
        <v>186.35</v>
      </c>
      <c r="H116" s="364">
        <f>ROUND(F116*G116,2)</f>
        <v>2795.25</v>
      </c>
      <c r="I116" s="365">
        <v>0</v>
      </c>
      <c r="J116" s="365">
        <v>0</v>
      </c>
      <c r="K116" s="365">
        <v>0</v>
      </c>
      <c r="L116" s="365">
        <v>0</v>
      </c>
      <c r="M116" s="365">
        <v>0</v>
      </c>
      <c r="N116" s="365">
        <v>0</v>
      </c>
      <c r="O116" s="364">
        <f t="shared" si="115"/>
        <v>2795.25</v>
      </c>
      <c r="P116" s="366"/>
      <c r="Q116" s="364">
        <f t="shared" si="129"/>
        <v>0</v>
      </c>
      <c r="R116" s="364">
        <f t="shared" si="116"/>
        <v>2795.25</v>
      </c>
      <c r="S116" s="364">
        <f t="shared" si="117"/>
        <v>2699.41</v>
      </c>
      <c r="T116" s="364">
        <f t="shared" si="118"/>
        <v>95.840000000000146</v>
      </c>
      <c r="U116" s="367">
        <f t="shared" si="119"/>
        <v>0.10879999999999999</v>
      </c>
      <c r="V116" s="364">
        <f t="shared" si="120"/>
        <v>10.427392000000015</v>
      </c>
      <c r="W116" s="364">
        <f t="shared" si="121"/>
        <v>158.55000000000001</v>
      </c>
      <c r="X116" s="364">
        <f t="shared" si="122"/>
        <v>168.97739200000004</v>
      </c>
      <c r="Y116" s="364">
        <f t="shared" si="123"/>
        <v>145.35</v>
      </c>
      <c r="Z116" s="364">
        <f t="shared" si="124"/>
        <v>23.63</v>
      </c>
      <c r="AA116" s="368"/>
      <c r="AB116" s="364">
        <f t="shared" si="125"/>
        <v>0</v>
      </c>
      <c r="AC116" s="364">
        <f t="shared" si="126"/>
        <v>23.63</v>
      </c>
      <c r="AD116" s="364">
        <v>0</v>
      </c>
      <c r="AE116" s="365">
        <v>0</v>
      </c>
      <c r="AF116" s="365">
        <v>0</v>
      </c>
      <c r="AG116" s="372">
        <v>0</v>
      </c>
      <c r="AH116" s="364">
        <f t="shared" si="127"/>
        <v>23.63</v>
      </c>
      <c r="AI116" s="414">
        <f t="shared" si="128"/>
        <v>2771.62</v>
      </c>
      <c r="AJ116" s="184"/>
      <c r="AK116" s="225"/>
    </row>
    <row r="117" spans="1:38" ht="21.75" customHeight="1" x14ac:dyDescent="0.25">
      <c r="B117" s="404">
        <v>83</v>
      </c>
      <c r="C117" s="495" t="s">
        <v>492</v>
      </c>
      <c r="D117" s="362" t="s">
        <v>151</v>
      </c>
      <c r="E117" s="369"/>
      <c r="F117" s="362">
        <v>15</v>
      </c>
      <c r="G117" s="363">
        <v>100</v>
      </c>
      <c r="H117" s="364">
        <f t="shared" si="114"/>
        <v>1500</v>
      </c>
      <c r="I117" s="365">
        <v>0</v>
      </c>
      <c r="J117" s="365">
        <v>0</v>
      </c>
      <c r="K117" s="365">
        <v>0</v>
      </c>
      <c r="L117" s="365">
        <v>0</v>
      </c>
      <c r="M117" s="365">
        <v>0</v>
      </c>
      <c r="N117" s="365">
        <v>0</v>
      </c>
      <c r="O117" s="364">
        <f t="shared" si="115"/>
        <v>1500</v>
      </c>
      <c r="P117" s="366"/>
      <c r="Q117" s="364">
        <f t="shared" si="129"/>
        <v>0</v>
      </c>
      <c r="R117" s="364">
        <f t="shared" si="116"/>
        <v>1500</v>
      </c>
      <c r="S117" s="364">
        <f t="shared" si="117"/>
        <v>318.01</v>
      </c>
      <c r="T117" s="364">
        <f t="shared" si="118"/>
        <v>1181.99</v>
      </c>
      <c r="U117" s="367">
        <f t="shared" si="119"/>
        <v>6.4000000000000001E-2</v>
      </c>
      <c r="V117" s="364">
        <f t="shared" si="120"/>
        <v>75.647360000000006</v>
      </c>
      <c r="W117" s="364">
        <f t="shared" si="121"/>
        <v>6.15</v>
      </c>
      <c r="X117" s="364">
        <f t="shared" si="122"/>
        <v>81.797360000000012</v>
      </c>
      <c r="Y117" s="364">
        <f t="shared" si="123"/>
        <v>200.7</v>
      </c>
      <c r="Z117" s="364">
        <f t="shared" si="124"/>
        <v>-118.9</v>
      </c>
      <c r="AA117" s="368"/>
      <c r="AB117" s="364">
        <f t="shared" si="125"/>
        <v>118.9</v>
      </c>
      <c r="AC117" s="364">
        <f t="shared" si="126"/>
        <v>0</v>
      </c>
      <c r="AD117" s="364">
        <v>0</v>
      </c>
      <c r="AE117" s="365">
        <v>0</v>
      </c>
      <c r="AF117" s="365">
        <v>0</v>
      </c>
      <c r="AG117" s="372">
        <v>0</v>
      </c>
      <c r="AH117" s="364">
        <f t="shared" si="127"/>
        <v>0</v>
      </c>
      <c r="AI117" s="414">
        <f t="shared" si="128"/>
        <v>1618.9</v>
      </c>
      <c r="AJ117" s="184"/>
      <c r="AK117" s="225"/>
    </row>
    <row r="118" spans="1:38" ht="28.5" customHeight="1" x14ac:dyDescent="0.25">
      <c r="B118" s="404">
        <v>84</v>
      </c>
      <c r="C118" s="495" t="s">
        <v>541</v>
      </c>
      <c r="D118" s="362" t="s">
        <v>151</v>
      </c>
      <c r="E118" s="369"/>
      <c r="F118" s="362">
        <v>15</v>
      </c>
      <c r="G118" s="363">
        <v>100</v>
      </c>
      <c r="H118" s="364">
        <f t="shared" si="114"/>
        <v>1500</v>
      </c>
      <c r="I118" s="365">
        <v>0</v>
      </c>
      <c r="J118" s="365">
        <v>0</v>
      </c>
      <c r="K118" s="365">
        <v>0</v>
      </c>
      <c r="L118" s="365">
        <v>0</v>
      </c>
      <c r="M118" s="365">
        <v>0</v>
      </c>
      <c r="N118" s="365">
        <v>0</v>
      </c>
      <c r="O118" s="364">
        <f t="shared" si="115"/>
        <v>1500</v>
      </c>
      <c r="P118" s="366"/>
      <c r="Q118" s="364">
        <f t="shared" si="129"/>
        <v>0</v>
      </c>
      <c r="R118" s="364">
        <f t="shared" si="116"/>
        <v>1500</v>
      </c>
      <c r="S118" s="364">
        <f t="shared" si="117"/>
        <v>318.01</v>
      </c>
      <c r="T118" s="364">
        <f t="shared" si="118"/>
        <v>1181.99</v>
      </c>
      <c r="U118" s="367">
        <f t="shared" si="119"/>
        <v>6.4000000000000001E-2</v>
      </c>
      <c r="V118" s="364">
        <f t="shared" si="120"/>
        <v>75.647360000000006</v>
      </c>
      <c r="W118" s="364">
        <f t="shared" si="121"/>
        <v>6.15</v>
      </c>
      <c r="X118" s="364">
        <f t="shared" si="122"/>
        <v>81.797360000000012</v>
      </c>
      <c r="Y118" s="364">
        <f t="shared" si="123"/>
        <v>200.7</v>
      </c>
      <c r="Z118" s="364">
        <f t="shared" si="124"/>
        <v>-118.9</v>
      </c>
      <c r="AA118" s="368"/>
      <c r="AB118" s="364">
        <f>-IF(Z118&gt;0,0,Z118)</f>
        <v>118.9</v>
      </c>
      <c r="AC118" s="364">
        <f t="shared" si="126"/>
        <v>0</v>
      </c>
      <c r="AD118" s="364">
        <v>0</v>
      </c>
      <c r="AE118" s="365">
        <v>0</v>
      </c>
      <c r="AF118" s="365">
        <v>0</v>
      </c>
      <c r="AG118" s="372">
        <v>0</v>
      </c>
      <c r="AH118" s="364">
        <f t="shared" si="127"/>
        <v>0</v>
      </c>
      <c r="AI118" s="414">
        <f t="shared" si="128"/>
        <v>1618.9</v>
      </c>
      <c r="AJ118" s="184"/>
      <c r="AK118" s="225"/>
    </row>
    <row r="119" spans="1:38" ht="21" customHeight="1" x14ac:dyDescent="0.25">
      <c r="B119" s="404">
        <v>85</v>
      </c>
      <c r="C119" s="495" t="s">
        <v>456</v>
      </c>
      <c r="D119" s="362" t="s">
        <v>151</v>
      </c>
      <c r="E119" s="369"/>
      <c r="F119" s="362">
        <v>15</v>
      </c>
      <c r="G119" s="363">
        <v>80</v>
      </c>
      <c r="H119" s="364">
        <f t="shared" si="114"/>
        <v>1200</v>
      </c>
      <c r="I119" s="365">
        <v>0</v>
      </c>
      <c r="J119" s="365">
        <v>0</v>
      </c>
      <c r="K119" s="365">
        <v>0</v>
      </c>
      <c r="L119" s="365">
        <v>0</v>
      </c>
      <c r="M119" s="365">
        <v>0</v>
      </c>
      <c r="N119" s="365">
        <v>0</v>
      </c>
      <c r="O119" s="364">
        <f t="shared" si="115"/>
        <v>1200</v>
      </c>
      <c r="P119" s="366"/>
      <c r="Q119" s="364">
        <f t="shared" si="129"/>
        <v>0</v>
      </c>
      <c r="R119" s="364">
        <f t="shared" si="116"/>
        <v>1200</v>
      </c>
      <c r="S119" s="364">
        <f t="shared" si="117"/>
        <v>318.01</v>
      </c>
      <c r="T119" s="364">
        <f t="shared" si="118"/>
        <v>881.99</v>
      </c>
      <c r="U119" s="367">
        <f t="shared" si="119"/>
        <v>6.4000000000000001E-2</v>
      </c>
      <c r="V119" s="364">
        <f t="shared" si="120"/>
        <v>56.447360000000003</v>
      </c>
      <c r="W119" s="364">
        <f t="shared" si="121"/>
        <v>6.15</v>
      </c>
      <c r="X119" s="364">
        <f t="shared" si="122"/>
        <v>62.597360000000002</v>
      </c>
      <c r="Y119" s="364">
        <f t="shared" si="123"/>
        <v>200.7</v>
      </c>
      <c r="Z119" s="364">
        <f t="shared" si="124"/>
        <v>-138.1</v>
      </c>
      <c r="AA119" s="368"/>
      <c r="AB119" s="364">
        <f t="shared" si="125"/>
        <v>138.1</v>
      </c>
      <c r="AC119" s="364">
        <f t="shared" si="126"/>
        <v>0</v>
      </c>
      <c r="AD119" s="364">
        <v>0</v>
      </c>
      <c r="AE119" s="365">
        <v>0</v>
      </c>
      <c r="AF119" s="365">
        <v>0</v>
      </c>
      <c r="AG119" s="372">
        <v>0</v>
      </c>
      <c r="AH119" s="364">
        <f t="shared" si="127"/>
        <v>0</v>
      </c>
      <c r="AI119" s="414">
        <f t="shared" si="128"/>
        <v>1338.1</v>
      </c>
      <c r="AJ119" s="184"/>
      <c r="AK119" s="225"/>
    </row>
    <row r="120" spans="1:38" ht="22.5" customHeight="1" x14ac:dyDescent="0.25">
      <c r="B120" s="404">
        <v>86</v>
      </c>
      <c r="C120" s="495" t="s">
        <v>444</v>
      </c>
      <c r="D120" s="362" t="s">
        <v>134</v>
      </c>
      <c r="E120" s="369"/>
      <c r="F120" s="362">
        <v>15</v>
      </c>
      <c r="G120" s="363">
        <v>212.333</v>
      </c>
      <c r="H120" s="364">
        <f t="shared" si="114"/>
        <v>3185</v>
      </c>
      <c r="I120" s="365">
        <v>0</v>
      </c>
      <c r="J120" s="365">
        <v>0</v>
      </c>
      <c r="K120" s="365">
        <v>0</v>
      </c>
      <c r="L120" s="365">
        <v>0</v>
      </c>
      <c r="M120" s="365">
        <v>0</v>
      </c>
      <c r="N120" s="365">
        <v>0</v>
      </c>
      <c r="O120" s="364">
        <f t="shared" si="115"/>
        <v>3185</v>
      </c>
      <c r="P120" s="366"/>
      <c r="Q120" s="364">
        <f t="shared" si="129"/>
        <v>0</v>
      </c>
      <c r="R120" s="364">
        <f t="shared" si="116"/>
        <v>3185</v>
      </c>
      <c r="S120" s="364">
        <f t="shared" si="117"/>
        <v>2699.41</v>
      </c>
      <c r="T120" s="364">
        <f t="shared" si="118"/>
        <v>485.59000000000015</v>
      </c>
      <c r="U120" s="367">
        <f t="shared" si="119"/>
        <v>0.10879999999999999</v>
      </c>
      <c r="V120" s="364">
        <f t="shared" si="120"/>
        <v>52.832192000000013</v>
      </c>
      <c r="W120" s="364">
        <f t="shared" si="121"/>
        <v>158.55000000000001</v>
      </c>
      <c r="X120" s="364">
        <f t="shared" si="122"/>
        <v>211.38219200000003</v>
      </c>
      <c r="Y120" s="364">
        <f t="shared" si="123"/>
        <v>125.1</v>
      </c>
      <c r="Z120" s="364">
        <f t="shared" si="124"/>
        <v>86.28</v>
      </c>
      <c r="AA120" s="368"/>
      <c r="AB120" s="364">
        <f t="shared" si="125"/>
        <v>0</v>
      </c>
      <c r="AC120" s="364">
        <f t="shared" si="126"/>
        <v>86.28</v>
      </c>
      <c r="AD120" s="364">
        <v>0</v>
      </c>
      <c r="AE120" s="365">
        <v>0</v>
      </c>
      <c r="AF120" s="365">
        <v>0</v>
      </c>
      <c r="AG120" s="372">
        <v>0</v>
      </c>
      <c r="AH120" s="364">
        <f t="shared" si="127"/>
        <v>86.28</v>
      </c>
      <c r="AI120" s="414">
        <f t="shared" si="128"/>
        <v>3098.72</v>
      </c>
      <c r="AJ120" s="184"/>
      <c r="AK120" s="225"/>
    </row>
    <row r="121" spans="1:38" ht="21" customHeight="1" x14ac:dyDescent="0.25">
      <c r="B121" s="404">
        <v>87</v>
      </c>
      <c r="C121" s="495" t="s">
        <v>466</v>
      </c>
      <c r="D121" s="362" t="s">
        <v>158</v>
      </c>
      <c r="E121" s="369"/>
      <c r="F121" s="362">
        <v>15</v>
      </c>
      <c r="G121" s="363">
        <v>124.733</v>
      </c>
      <c r="H121" s="364">
        <f t="shared" si="114"/>
        <v>1871</v>
      </c>
      <c r="I121" s="365">
        <v>0</v>
      </c>
      <c r="J121" s="365">
        <v>0</v>
      </c>
      <c r="K121" s="365">
        <v>0</v>
      </c>
      <c r="L121" s="365">
        <v>0</v>
      </c>
      <c r="M121" s="365">
        <v>0</v>
      </c>
      <c r="N121" s="365">
        <v>0</v>
      </c>
      <c r="O121" s="364">
        <f t="shared" si="115"/>
        <v>1871</v>
      </c>
      <c r="P121" s="366"/>
      <c r="Q121" s="364">
        <f t="shared" si="129"/>
        <v>0</v>
      </c>
      <c r="R121" s="364">
        <f t="shared" si="116"/>
        <v>1871</v>
      </c>
      <c r="S121" s="364">
        <f t="shared" si="117"/>
        <v>318.01</v>
      </c>
      <c r="T121" s="364">
        <f t="shared" si="118"/>
        <v>1552.99</v>
      </c>
      <c r="U121" s="367">
        <f t="shared" si="119"/>
        <v>6.4000000000000001E-2</v>
      </c>
      <c r="V121" s="364">
        <f t="shared" si="120"/>
        <v>99.391360000000006</v>
      </c>
      <c r="W121" s="364">
        <f t="shared" si="121"/>
        <v>6.15</v>
      </c>
      <c r="X121" s="364">
        <f t="shared" si="122"/>
        <v>105.54136000000001</v>
      </c>
      <c r="Y121" s="364">
        <f t="shared" si="123"/>
        <v>188.7</v>
      </c>
      <c r="Z121" s="364">
        <f t="shared" si="124"/>
        <v>-83.16</v>
      </c>
      <c r="AA121" s="368"/>
      <c r="AB121" s="364">
        <f t="shared" si="125"/>
        <v>83.16</v>
      </c>
      <c r="AC121" s="364">
        <f t="shared" si="126"/>
        <v>0</v>
      </c>
      <c r="AD121" s="364">
        <v>0</v>
      </c>
      <c r="AE121" s="365">
        <v>0</v>
      </c>
      <c r="AF121" s="365">
        <v>0</v>
      </c>
      <c r="AG121" s="372">
        <v>0</v>
      </c>
      <c r="AH121" s="364">
        <f t="shared" si="127"/>
        <v>0</v>
      </c>
      <c r="AI121" s="414">
        <f t="shared" si="128"/>
        <v>1954.16</v>
      </c>
      <c r="AJ121" s="184"/>
      <c r="AK121" s="225"/>
    </row>
    <row r="122" spans="1:38" ht="21" customHeight="1" x14ac:dyDescent="0.25">
      <c r="B122" s="404">
        <v>88</v>
      </c>
      <c r="C122" s="495" t="s">
        <v>386</v>
      </c>
      <c r="D122" s="362" t="s">
        <v>157</v>
      </c>
      <c r="E122" s="369"/>
      <c r="F122" s="362">
        <v>15</v>
      </c>
      <c r="G122" s="363">
        <v>100</v>
      </c>
      <c r="H122" s="364">
        <f t="shared" si="114"/>
        <v>1500</v>
      </c>
      <c r="I122" s="365">
        <v>0</v>
      </c>
      <c r="J122" s="365">
        <v>0</v>
      </c>
      <c r="K122" s="365">
        <v>0</v>
      </c>
      <c r="L122" s="365">
        <v>0</v>
      </c>
      <c r="M122" s="365">
        <v>0</v>
      </c>
      <c r="N122" s="365">
        <v>0</v>
      </c>
      <c r="O122" s="364">
        <f t="shared" si="115"/>
        <v>1500</v>
      </c>
      <c r="P122" s="366"/>
      <c r="Q122" s="364">
        <f t="shared" si="129"/>
        <v>0</v>
      </c>
      <c r="R122" s="364">
        <f t="shared" si="116"/>
        <v>1500</v>
      </c>
      <c r="S122" s="364">
        <f t="shared" si="117"/>
        <v>318.01</v>
      </c>
      <c r="T122" s="364">
        <f t="shared" si="118"/>
        <v>1181.99</v>
      </c>
      <c r="U122" s="367">
        <f t="shared" si="119"/>
        <v>6.4000000000000001E-2</v>
      </c>
      <c r="V122" s="364">
        <f t="shared" si="120"/>
        <v>75.647360000000006</v>
      </c>
      <c r="W122" s="364">
        <f t="shared" si="121"/>
        <v>6.15</v>
      </c>
      <c r="X122" s="364">
        <f t="shared" si="122"/>
        <v>81.797360000000012</v>
      </c>
      <c r="Y122" s="364">
        <f t="shared" si="123"/>
        <v>200.7</v>
      </c>
      <c r="Z122" s="364">
        <f t="shared" si="124"/>
        <v>-118.9</v>
      </c>
      <c r="AA122" s="368"/>
      <c r="AB122" s="364">
        <f t="shared" si="125"/>
        <v>118.9</v>
      </c>
      <c r="AC122" s="364">
        <f t="shared" si="126"/>
        <v>0</v>
      </c>
      <c r="AD122" s="364">
        <v>0</v>
      </c>
      <c r="AE122" s="365">
        <v>0</v>
      </c>
      <c r="AF122" s="365">
        <v>0</v>
      </c>
      <c r="AG122" s="372">
        <v>0</v>
      </c>
      <c r="AH122" s="364">
        <f t="shared" si="127"/>
        <v>0</v>
      </c>
      <c r="AI122" s="414">
        <f t="shared" si="128"/>
        <v>1618.9</v>
      </c>
      <c r="AJ122" s="184"/>
      <c r="AK122" s="225"/>
    </row>
    <row r="123" spans="1:38" ht="21" customHeight="1" x14ac:dyDescent="0.25">
      <c r="B123" s="404">
        <v>89</v>
      </c>
      <c r="C123" s="495" t="s">
        <v>459</v>
      </c>
      <c r="D123" s="362" t="s">
        <v>157</v>
      </c>
      <c r="E123" s="369"/>
      <c r="F123" s="362">
        <v>15</v>
      </c>
      <c r="G123" s="363">
        <v>100</v>
      </c>
      <c r="H123" s="364">
        <f t="shared" si="114"/>
        <v>1500</v>
      </c>
      <c r="I123" s="365">
        <v>0</v>
      </c>
      <c r="J123" s="365">
        <v>0</v>
      </c>
      <c r="K123" s="365">
        <v>0</v>
      </c>
      <c r="L123" s="365">
        <v>0</v>
      </c>
      <c r="M123" s="365">
        <v>0</v>
      </c>
      <c r="N123" s="365">
        <v>0</v>
      </c>
      <c r="O123" s="364">
        <f t="shared" si="115"/>
        <v>1500</v>
      </c>
      <c r="P123" s="366"/>
      <c r="Q123" s="364">
        <f t="shared" si="129"/>
        <v>0</v>
      </c>
      <c r="R123" s="364">
        <f t="shared" si="116"/>
        <v>1500</v>
      </c>
      <c r="S123" s="364">
        <f t="shared" si="117"/>
        <v>318.01</v>
      </c>
      <c r="T123" s="364">
        <f t="shared" si="118"/>
        <v>1181.99</v>
      </c>
      <c r="U123" s="367">
        <f t="shared" si="119"/>
        <v>6.4000000000000001E-2</v>
      </c>
      <c r="V123" s="364">
        <f t="shared" si="120"/>
        <v>75.647360000000006</v>
      </c>
      <c r="W123" s="364">
        <f t="shared" si="121"/>
        <v>6.15</v>
      </c>
      <c r="X123" s="364">
        <f t="shared" si="122"/>
        <v>81.797360000000012</v>
      </c>
      <c r="Y123" s="364">
        <f t="shared" si="123"/>
        <v>200.7</v>
      </c>
      <c r="Z123" s="364">
        <f t="shared" si="124"/>
        <v>-118.9</v>
      </c>
      <c r="AA123" s="368"/>
      <c r="AB123" s="364">
        <f t="shared" si="125"/>
        <v>118.9</v>
      </c>
      <c r="AC123" s="364">
        <f t="shared" si="126"/>
        <v>0</v>
      </c>
      <c r="AD123" s="364">
        <v>0</v>
      </c>
      <c r="AE123" s="364">
        <v>0</v>
      </c>
      <c r="AF123" s="364">
        <v>0</v>
      </c>
      <c r="AG123" s="372">
        <v>0</v>
      </c>
      <c r="AH123" s="364">
        <f t="shared" si="127"/>
        <v>0</v>
      </c>
      <c r="AI123" s="414">
        <f t="shared" si="128"/>
        <v>1618.9</v>
      </c>
      <c r="AJ123" s="184"/>
      <c r="AK123" s="225"/>
    </row>
    <row r="124" spans="1:38" s="99" customFormat="1" ht="24" customHeight="1" x14ac:dyDescent="0.25">
      <c r="A124" s="100"/>
      <c r="B124" s="404">
        <v>90</v>
      </c>
      <c r="C124" s="495" t="s">
        <v>376</v>
      </c>
      <c r="D124" s="362" t="s">
        <v>115</v>
      </c>
      <c r="E124" s="369"/>
      <c r="F124" s="362">
        <v>15</v>
      </c>
      <c r="G124" s="363">
        <v>133.333</v>
      </c>
      <c r="H124" s="364">
        <f t="shared" si="114"/>
        <v>2000</v>
      </c>
      <c r="I124" s="365">
        <v>0</v>
      </c>
      <c r="J124" s="365">
        <v>0</v>
      </c>
      <c r="K124" s="365">
        <v>0</v>
      </c>
      <c r="L124" s="365">
        <v>0</v>
      </c>
      <c r="M124" s="365">
        <v>0</v>
      </c>
      <c r="N124" s="365">
        <v>0</v>
      </c>
      <c r="O124" s="364">
        <f t="shared" si="115"/>
        <v>2000</v>
      </c>
      <c r="P124" s="366"/>
      <c r="Q124" s="364">
        <f t="shared" si="129"/>
        <v>0</v>
      </c>
      <c r="R124" s="364">
        <f t="shared" si="116"/>
        <v>2000</v>
      </c>
      <c r="S124" s="364">
        <f t="shared" si="117"/>
        <v>318.01</v>
      </c>
      <c r="T124" s="364">
        <f t="shared" si="118"/>
        <v>1681.99</v>
      </c>
      <c r="U124" s="367">
        <f t="shared" si="119"/>
        <v>6.4000000000000001E-2</v>
      </c>
      <c r="V124" s="364">
        <f t="shared" si="120"/>
        <v>107.64736000000001</v>
      </c>
      <c r="W124" s="364">
        <f t="shared" si="121"/>
        <v>6.15</v>
      </c>
      <c r="X124" s="364">
        <f t="shared" si="122"/>
        <v>113.79736000000001</v>
      </c>
      <c r="Y124" s="364">
        <f t="shared" si="123"/>
        <v>188.7</v>
      </c>
      <c r="Z124" s="364">
        <f t="shared" si="124"/>
        <v>-74.900000000000006</v>
      </c>
      <c r="AA124" s="368"/>
      <c r="AB124" s="364">
        <f t="shared" si="125"/>
        <v>74.900000000000006</v>
      </c>
      <c r="AC124" s="364">
        <f t="shared" si="126"/>
        <v>0</v>
      </c>
      <c r="AD124" s="364">
        <v>0</v>
      </c>
      <c r="AE124" s="364">
        <v>0</v>
      </c>
      <c r="AF124" s="364">
        <v>0</v>
      </c>
      <c r="AG124" s="372">
        <v>0</v>
      </c>
      <c r="AH124" s="364">
        <f t="shared" si="127"/>
        <v>0</v>
      </c>
      <c r="AI124" s="414">
        <f t="shared" si="128"/>
        <v>2074.9</v>
      </c>
      <c r="AJ124" s="184"/>
      <c r="AK124" s="226"/>
    </row>
    <row r="125" spans="1:38" s="99" customFormat="1" ht="24" customHeight="1" x14ac:dyDescent="0.25">
      <c r="A125" s="100"/>
      <c r="B125" s="404">
        <v>91</v>
      </c>
      <c r="C125" s="495" t="s">
        <v>372</v>
      </c>
      <c r="D125" s="362" t="s">
        <v>245</v>
      </c>
      <c r="E125" s="369"/>
      <c r="F125" s="362">
        <v>15</v>
      </c>
      <c r="G125" s="363">
        <v>128.4666</v>
      </c>
      <c r="H125" s="364">
        <f t="shared" si="114"/>
        <v>1927</v>
      </c>
      <c r="I125" s="365">
        <v>0</v>
      </c>
      <c r="J125" s="365">
        <v>0</v>
      </c>
      <c r="K125" s="365">
        <v>0</v>
      </c>
      <c r="L125" s="365">
        <v>0</v>
      </c>
      <c r="M125" s="365">
        <v>0</v>
      </c>
      <c r="N125" s="365">
        <v>0</v>
      </c>
      <c r="O125" s="364">
        <f t="shared" si="115"/>
        <v>1927</v>
      </c>
      <c r="P125" s="366"/>
      <c r="Q125" s="364">
        <f t="shared" si="129"/>
        <v>0</v>
      </c>
      <c r="R125" s="364">
        <f t="shared" si="116"/>
        <v>1927</v>
      </c>
      <c r="S125" s="364">
        <f t="shared" si="117"/>
        <v>318.01</v>
      </c>
      <c r="T125" s="364">
        <f t="shared" si="118"/>
        <v>1608.99</v>
      </c>
      <c r="U125" s="367">
        <f t="shared" si="119"/>
        <v>6.4000000000000001E-2</v>
      </c>
      <c r="V125" s="364">
        <f t="shared" si="120"/>
        <v>102.97536000000001</v>
      </c>
      <c r="W125" s="364">
        <f t="shared" si="121"/>
        <v>6.15</v>
      </c>
      <c r="X125" s="364">
        <f t="shared" si="122"/>
        <v>109.12536000000001</v>
      </c>
      <c r="Y125" s="364">
        <f t="shared" si="123"/>
        <v>188.7</v>
      </c>
      <c r="Z125" s="364">
        <f t="shared" si="124"/>
        <v>-79.569999999999993</v>
      </c>
      <c r="AA125" s="368"/>
      <c r="AB125" s="364">
        <f t="shared" si="125"/>
        <v>79.569999999999993</v>
      </c>
      <c r="AC125" s="364">
        <f t="shared" si="126"/>
        <v>0</v>
      </c>
      <c r="AD125" s="364">
        <v>0</v>
      </c>
      <c r="AE125" s="364">
        <v>0</v>
      </c>
      <c r="AF125" s="364">
        <v>0</v>
      </c>
      <c r="AG125" s="372">
        <v>0</v>
      </c>
      <c r="AH125" s="364">
        <f t="shared" si="127"/>
        <v>0</v>
      </c>
      <c r="AI125" s="414">
        <f t="shared" si="128"/>
        <v>2006.57</v>
      </c>
      <c r="AJ125" s="184"/>
      <c r="AK125" s="226"/>
    </row>
    <row r="126" spans="1:38" s="99" customFormat="1" ht="24" customHeight="1" x14ac:dyDescent="0.25">
      <c r="A126" s="100"/>
      <c r="B126" s="404">
        <v>92</v>
      </c>
      <c r="C126" s="495" t="s">
        <v>432</v>
      </c>
      <c r="D126" s="362" t="s">
        <v>212</v>
      </c>
      <c r="E126" s="369"/>
      <c r="F126" s="362">
        <v>15</v>
      </c>
      <c r="G126" s="363">
        <v>100</v>
      </c>
      <c r="H126" s="364">
        <f t="shared" si="114"/>
        <v>1500</v>
      </c>
      <c r="I126" s="365">
        <v>0</v>
      </c>
      <c r="J126" s="365">
        <v>0</v>
      </c>
      <c r="K126" s="365">
        <v>0</v>
      </c>
      <c r="L126" s="365">
        <v>0</v>
      </c>
      <c r="M126" s="365">
        <v>0</v>
      </c>
      <c r="N126" s="365">
        <v>0</v>
      </c>
      <c r="O126" s="364">
        <f t="shared" si="115"/>
        <v>1500</v>
      </c>
      <c r="P126" s="366"/>
      <c r="Q126" s="364">
        <v>0</v>
      </c>
      <c r="R126" s="364">
        <f t="shared" si="116"/>
        <v>1500</v>
      </c>
      <c r="S126" s="364">
        <f t="shared" si="117"/>
        <v>318.01</v>
      </c>
      <c r="T126" s="364">
        <f t="shared" si="118"/>
        <v>1181.99</v>
      </c>
      <c r="U126" s="367">
        <f t="shared" si="119"/>
        <v>6.4000000000000001E-2</v>
      </c>
      <c r="V126" s="364">
        <f t="shared" si="120"/>
        <v>75.647360000000006</v>
      </c>
      <c r="W126" s="364">
        <f t="shared" si="121"/>
        <v>6.15</v>
      </c>
      <c r="X126" s="364">
        <f t="shared" si="122"/>
        <v>81.797360000000012</v>
      </c>
      <c r="Y126" s="364">
        <f t="shared" si="123"/>
        <v>200.7</v>
      </c>
      <c r="Z126" s="364">
        <f t="shared" si="124"/>
        <v>-118.9</v>
      </c>
      <c r="AA126" s="368"/>
      <c r="AB126" s="364">
        <f t="shared" si="125"/>
        <v>118.9</v>
      </c>
      <c r="AC126" s="364">
        <f t="shared" si="126"/>
        <v>0</v>
      </c>
      <c r="AD126" s="364">
        <v>0</v>
      </c>
      <c r="AE126" s="364">
        <v>0</v>
      </c>
      <c r="AF126" s="364">
        <v>0</v>
      </c>
      <c r="AG126" s="372">
        <v>0</v>
      </c>
      <c r="AH126" s="364">
        <f t="shared" si="127"/>
        <v>0</v>
      </c>
      <c r="AI126" s="414">
        <f t="shared" si="128"/>
        <v>1618.9</v>
      </c>
      <c r="AJ126" s="184"/>
      <c r="AK126" s="226"/>
    </row>
    <row r="127" spans="1:38" ht="21" customHeight="1" x14ac:dyDescent="0.25">
      <c r="B127" s="404"/>
      <c r="C127" s="495"/>
      <c r="D127" s="370" t="s">
        <v>111</v>
      </c>
      <c r="E127" s="570"/>
      <c r="F127" s="571"/>
      <c r="G127" s="572"/>
      <c r="H127" s="371">
        <f t="shared" ref="H127:Z127" si="130">SUM(H111:H126)</f>
        <v>28675.25</v>
      </c>
      <c r="I127" s="371">
        <f t="shared" si="130"/>
        <v>0</v>
      </c>
      <c r="J127" s="364">
        <f t="shared" si="130"/>
        <v>0</v>
      </c>
      <c r="K127" s="371">
        <f t="shared" si="130"/>
        <v>0</v>
      </c>
      <c r="L127" s="364">
        <f t="shared" si="130"/>
        <v>0</v>
      </c>
      <c r="M127" s="371">
        <f t="shared" si="130"/>
        <v>0</v>
      </c>
      <c r="N127" s="364">
        <f t="shared" si="130"/>
        <v>0</v>
      </c>
      <c r="O127" s="371">
        <f t="shared" si="130"/>
        <v>28675.25</v>
      </c>
      <c r="P127" s="371">
        <f t="shared" si="130"/>
        <v>0</v>
      </c>
      <c r="Q127" s="364">
        <f t="shared" si="130"/>
        <v>0</v>
      </c>
      <c r="R127" s="371">
        <f t="shared" si="130"/>
        <v>28675.25</v>
      </c>
      <c r="S127" s="371">
        <f t="shared" si="130"/>
        <v>9850.9600000000009</v>
      </c>
      <c r="T127" s="371">
        <f t="shared" si="130"/>
        <v>18824.29</v>
      </c>
      <c r="U127" s="371">
        <f t="shared" si="130"/>
        <v>1.1136000000000004</v>
      </c>
      <c r="V127" s="371">
        <f t="shared" si="130"/>
        <v>1230.8026239999999</v>
      </c>
      <c r="W127" s="371">
        <f t="shared" si="130"/>
        <v>403.19999999999993</v>
      </c>
      <c r="X127" s="371">
        <f t="shared" si="130"/>
        <v>1634.002624</v>
      </c>
      <c r="Y127" s="371">
        <f t="shared" si="130"/>
        <v>2991.8999999999992</v>
      </c>
      <c r="Z127" s="371">
        <f t="shared" si="130"/>
        <v>-1357.8600000000001</v>
      </c>
      <c r="AA127" s="371"/>
      <c r="AB127" s="371">
        <f t="shared" ref="AB127:AI127" si="131">SUM(AB111:AB126)</f>
        <v>1467.7700000000002</v>
      </c>
      <c r="AC127" s="371">
        <f t="shared" si="131"/>
        <v>109.91</v>
      </c>
      <c r="AD127" s="371">
        <f t="shared" si="131"/>
        <v>0</v>
      </c>
      <c r="AE127" s="371">
        <f t="shared" si="131"/>
        <v>0</v>
      </c>
      <c r="AF127" s="371">
        <f t="shared" si="131"/>
        <v>0</v>
      </c>
      <c r="AG127" s="371">
        <f t="shared" si="131"/>
        <v>0</v>
      </c>
      <c r="AH127" s="371">
        <f t="shared" si="131"/>
        <v>109.91</v>
      </c>
      <c r="AI127" s="415">
        <f t="shared" si="131"/>
        <v>30033.110000000004</v>
      </c>
      <c r="AJ127" s="164"/>
      <c r="AK127" s="225"/>
      <c r="AL127" s="108">
        <f>O127+AB127-AH127</f>
        <v>30033.11</v>
      </c>
    </row>
    <row r="128" spans="1:38" ht="21" customHeight="1" x14ac:dyDescent="0.25">
      <c r="B128" s="573" t="s">
        <v>133</v>
      </c>
      <c r="C128" s="573"/>
      <c r="D128" s="573"/>
      <c r="E128" s="573"/>
      <c r="F128" s="573"/>
      <c r="G128" s="573"/>
      <c r="H128" s="573"/>
      <c r="I128" s="573"/>
      <c r="J128" s="573"/>
      <c r="K128" s="573"/>
      <c r="L128" s="573"/>
      <c r="M128" s="573"/>
      <c r="N128" s="573"/>
      <c r="O128" s="573"/>
      <c r="P128" s="573"/>
      <c r="Q128" s="573"/>
      <c r="R128" s="573"/>
      <c r="S128" s="573"/>
      <c r="T128" s="573"/>
      <c r="U128" s="573"/>
      <c r="V128" s="573"/>
      <c r="W128" s="573"/>
      <c r="X128" s="573"/>
      <c r="Y128" s="573"/>
      <c r="Z128" s="573"/>
      <c r="AA128" s="573"/>
      <c r="AB128" s="573"/>
      <c r="AC128" s="573"/>
      <c r="AD128" s="573"/>
      <c r="AE128" s="573"/>
      <c r="AF128" s="573"/>
      <c r="AG128" s="573"/>
      <c r="AH128" s="573"/>
      <c r="AI128" s="573"/>
      <c r="AJ128" s="573"/>
      <c r="AK128" s="225"/>
    </row>
    <row r="129" spans="2:38" ht="22.5" customHeight="1" x14ac:dyDescent="0.25">
      <c r="B129" s="404">
        <v>93</v>
      </c>
      <c r="C129" s="495" t="s">
        <v>340</v>
      </c>
      <c r="D129" s="362" t="s">
        <v>190</v>
      </c>
      <c r="E129" s="369"/>
      <c r="F129" s="362">
        <v>15</v>
      </c>
      <c r="G129" s="363">
        <v>67</v>
      </c>
      <c r="H129" s="364">
        <f t="shared" ref="H129:H133" si="132">ROUND(F129*G129,2)</f>
        <v>1005</v>
      </c>
      <c r="I129" s="365">
        <v>0</v>
      </c>
      <c r="J129" s="365">
        <v>0</v>
      </c>
      <c r="K129" s="365">
        <v>0</v>
      </c>
      <c r="L129" s="365">
        <v>0</v>
      </c>
      <c r="M129" s="365">
        <v>0</v>
      </c>
      <c r="N129" s="365">
        <v>0</v>
      </c>
      <c r="O129" s="364">
        <f>SUM(H129:N129)</f>
        <v>1005</v>
      </c>
      <c r="P129" s="366"/>
      <c r="Q129" s="364">
        <f>IF(G129=47.16,0,IF(G129&gt;47.16,L129*0.5,0))</f>
        <v>0</v>
      </c>
      <c r="R129" s="364">
        <f>H129+I129+J129+M129+Q129+K129</f>
        <v>1005</v>
      </c>
      <c r="S129" s="364">
        <f t="shared" ref="S129:S134" si="133">VLOOKUP(R129,TARIFA1,1)</f>
        <v>318.01</v>
      </c>
      <c r="T129" s="364">
        <f>R129-S129</f>
        <v>686.99</v>
      </c>
      <c r="U129" s="367">
        <f>VLOOKUP(R129,TARIFA1,3)</f>
        <v>6.4000000000000001E-2</v>
      </c>
      <c r="V129" s="364">
        <f>T129*U129</f>
        <v>43.967359999999999</v>
      </c>
      <c r="W129" s="364">
        <f>VLOOKUP(R129,TARIFA1,2)</f>
        <v>6.15</v>
      </c>
      <c r="X129" s="364">
        <f>V129+W129</f>
        <v>50.117359999999998</v>
      </c>
      <c r="Y129" s="364">
        <f>VLOOKUP(R129,Credito1,2)</f>
        <v>200.7</v>
      </c>
      <c r="Z129" s="364">
        <f>ROUND(X129-Y129,2)</f>
        <v>-150.58000000000001</v>
      </c>
      <c r="AA129" s="368"/>
      <c r="AB129" s="364">
        <f>-IF(Z129&gt;0,0,Z129)</f>
        <v>150.58000000000001</v>
      </c>
      <c r="AC129" s="364">
        <f>IF(Z129&lt;0,0,Z129)</f>
        <v>0</v>
      </c>
      <c r="AD129" s="364">
        <v>0</v>
      </c>
      <c r="AE129" s="364">
        <v>0</v>
      </c>
      <c r="AF129" s="364">
        <v>0</v>
      </c>
      <c r="AG129" s="372">
        <v>0</v>
      </c>
      <c r="AH129" s="364">
        <f>SUM(AC129:AG129)</f>
        <v>0</v>
      </c>
      <c r="AI129" s="414">
        <f>O129+AB129-AH129</f>
        <v>1155.58</v>
      </c>
      <c r="AJ129" s="184"/>
      <c r="AK129" s="225"/>
    </row>
    <row r="130" spans="2:38" ht="21" customHeight="1" x14ac:dyDescent="0.25">
      <c r="B130" s="404">
        <v>94</v>
      </c>
      <c r="C130" s="495" t="s">
        <v>429</v>
      </c>
      <c r="D130" s="362" t="s">
        <v>241</v>
      </c>
      <c r="E130" s="369"/>
      <c r="F130" s="362">
        <v>15</v>
      </c>
      <c r="G130" s="363">
        <v>179.13300000000001</v>
      </c>
      <c r="H130" s="364">
        <f t="shared" si="132"/>
        <v>2687</v>
      </c>
      <c r="I130" s="365">
        <v>0</v>
      </c>
      <c r="J130" s="365">
        <v>0</v>
      </c>
      <c r="K130" s="365">
        <v>0</v>
      </c>
      <c r="L130" s="365">
        <v>0</v>
      </c>
      <c r="M130" s="365">
        <v>0</v>
      </c>
      <c r="N130" s="365">
        <v>0</v>
      </c>
      <c r="O130" s="364">
        <f t="shared" ref="O130:O133" si="134">SUM(H130:N130)</f>
        <v>2687</v>
      </c>
      <c r="P130" s="366"/>
      <c r="Q130" s="364">
        <v>0</v>
      </c>
      <c r="R130" s="364">
        <f t="shared" ref="R130:R133" si="135">H130+I130+J130+M130+Q130+K130</f>
        <v>2687</v>
      </c>
      <c r="S130" s="364">
        <f t="shared" si="133"/>
        <v>318.01</v>
      </c>
      <c r="T130" s="364">
        <f t="shared" ref="T130:T133" si="136">R130-S130</f>
        <v>2368.9899999999998</v>
      </c>
      <c r="U130" s="367">
        <f>VLOOKUP(R130,TARIFA1,3)</f>
        <v>6.4000000000000001E-2</v>
      </c>
      <c r="V130" s="364">
        <f t="shared" ref="V130:V133" si="137">T130*U130</f>
        <v>151.61535999999998</v>
      </c>
      <c r="W130" s="364">
        <f>VLOOKUP(R130,TARIFA1,2)</f>
        <v>6.15</v>
      </c>
      <c r="X130" s="364">
        <f t="shared" ref="X130:X133" si="138">V130+W130</f>
        <v>157.76535999999999</v>
      </c>
      <c r="Y130" s="364">
        <f>VLOOKUP(R130,Credito1,2)</f>
        <v>145.35</v>
      </c>
      <c r="Z130" s="364">
        <f t="shared" ref="Z130:Z133" si="139">ROUND(X130-Y130,2)</f>
        <v>12.42</v>
      </c>
      <c r="AA130" s="368"/>
      <c r="AB130" s="364">
        <f t="shared" ref="AB130:AB133" si="140">-IF(Z130&gt;0,0,Z130)</f>
        <v>0</v>
      </c>
      <c r="AC130" s="364">
        <f t="shared" ref="AC130:AC133" si="141">IF(Z130&lt;0,0,Z130)</f>
        <v>12.42</v>
      </c>
      <c r="AD130" s="364">
        <v>0</v>
      </c>
      <c r="AE130" s="364">
        <v>0</v>
      </c>
      <c r="AF130" s="364">
        <v>0</v>
      </c>
      <c r="AG130" s="372">
        <v>0</v>
      </c>
      <c r="AH130" s="364">
        <f t="shared" ref="AH130:AH133" si="142">SUM(AC130:AG130)</f>
        <v>12.42</v>
      </c>
      <c r="AI130" s="414">
        <f t="shared" ref="AI130:AI133" si="143">O130+AB130-AH130</f>
        <v>2674.58</v>
      </c>
      <c r="AJ130" s="184"/>
      <c r="AK130" s="225"/>
    </row>
    <row r="131" spans="2:38" ht="21" customHeight="1" x14ac:dyDescent="0.25">
      <c r="B131" s="404">
        <v>95</v>
      </c>
      <c r="C131" s="495" t="s">
        <v>374</v>
      </c>
      <c r="D131" s="362" t="s">
        <v>134</v>
      </c>
      <c r="E131" s="369"/>
      <c r="F131" s="362">
        <v>15</v>
      </c>
      <c r="G131" s="363">
        <v>133.333</v>
      </c>
      <c r="H131" s="364">
        <f t="shared" si="132"/>
        <v>2000</v>
      </c>
      <c r="I131" s="365">
        <v>0</v>
      </c>
      <c r="J131" s="365">
        <v>0</v>
      </c>
      <c r="K131" s="365">
        <v>0</v>
      </c>
      <c r="L131" s="365">
        <v>0</v>
      </c>
      <c r="M131" s="365">
        <v>0</v>
      </c>
      <c r="N131" s="365">
        <v>0</v>
      </c>
      <c r="O131" s="364">
        <f t="shared" si="134"/>
        <v>2000</v>
      </c>
      <c r="P131" s="366"/>
      <c r="Q131" s="364">
        <v>0</v>
      </c>
      <c r="R131" s="364">
        <f t="shared" si="135"/>
        <v>2000</v>
      </c>
      <c r="S131" s="364">
        <f t="shared" si="133"/>
        <v>318.01</v>
      </c>
      <c r="T131" s="364">
        <f t="shared" si="136"/>
        <v>1681.99</v>
      </c>
      <c r="U131" s="367">
        <f>VLOOKUP(R131,TARIFA1,3)</f>
        <v>6.4000000000000001E-2</v>
      </c>
      <c r="V131" s="364">
        <f t="shared" si="137"/>
        <v>107.64736000000001</v>
      </c>
      <c r="W131" s="364">
        <f>VLOOKUP(R131,TARIFA1,2)</f>
        <v>6.15</v>
      </c>
      <c r="X131" s="364">
        <f t="shared" si="138"/>
        <v>113.79736000000001</v>
      </c>
      <c r="Y131" s="364">
        <f>VLOOKUP(R131,Credito1,2)</f>
        <v>188.7</v>
      </c>
      <c r="Z131" s="364">
        <f t="shared" si="139"/>
        <v>-74.900000000000006</v>
      </c>
      <c r="AA131" s="368"/>
      <c r="AB131" s="364">
        <f t="shared" si="140"/>
        <v>74.900000000000006</v>
      </c>
      <c r="AC131" s="364">
        <f t="shared" si="141"/>
        <v>0</v>
      </c>
      <c r="AD131" s="364">
        <v>0</v>
      </c>
      <c r="AE131" s="364">
        <v>0</v>
      </c>
      <c r="AF131" s="364">
        <v>0</v>
      </c>
      <c r="AG131" s="372">
        <v>0</v>
      </c>
      <c r="AH131" s="364">
        <f t="shared" si="142"/>
        <v>0</v>
      </c>
      <c r="AI131" s="414">
        <f t="shared" si="143"/>
        <v>2074.9</v>
      </c>
      <c r="AJ131" s="184"/>
      <c r="AK131" s="225"/>
    </row>
    <row r="132" spans="2:38" ht="21" customHeight="1" x14ac:dyDescent="0.25">
      <c r="B132" s="404">
        <v>96</v>
      </c>
      <c r="C132" s="495" t="s">
        <v>476</v>
      </c>
      <c r="D132" s="362" t="s">
        <v>245</v>
      </c>
      <c r="E132" s="341"/>
      <c r="F132" s="362">
        <v>15</v>
      </c>
      <c r="G132" s="363">
        <v>251.73</v>
      </c>
      <c r="H132" s="364">
        <f t="shared" si="132"/>
        <v>3775.95</v>
      </c>
      <c r="I132" s="365">
        <v>0</v>
      </c>
      <c r="J132" s="365">
        <v>0</v>
      </c>
      <c r="K132" s="365">
        <v>0</v>
      </c>
      <c r="L132" s="365">
        <v>0</v>
      </c>
      <c r="M132" s="365">
        <v>0</v>
      </c>
      <c r="N132" s="365">
        <v>0</v>
      </c>
      <c r="O132" s="364">
        <f t="shared" si="134"/>
        <v>3775.95</v>
      </c>
      <c r="P132" s="366"/>
      <c r="Q132" s="364">
        <v>0</v>
      </c>
      <c r="R132" s="364">
        <f t="shared" si="135"/>
        <v>3775.95</v>
      </c>
      <c r="S132" s="364">
        <f t="shared" si="133"/>
        <v>2699.41</v>
      </c>
      <c r="T132" s="364">
        <f t="shared" si="136"/>
        <v>1076.54</v>
      </c>
      <c r="U132" s="367">
        <f>VLOOKUP(R132,TARIFA1,3)</f>
        <v>0.10879999999999999</v>
      </c>
      <c r="V132" s="364">
        <f t="shared" si="137"/>
        <v>117.12755199999999</v>
      </c>
      <c r="W132" s="364">
        <f>VLOOKUP(R132,TARIFA1,2)</f>
        <v>158.55000000000001</v>
      </c>
      <c r="X132" s="364">
        <f t="shared" si="138"/>
        <v>275.67755199999999</v>
      </c>
      <c r="Y132" s="364">
        <f>VLOOKUP(R132,Credito1,2)</f>
        <v>0</v>
      </c>
      <c r="Z132" s="364">
        <f t="shared" si="139"/>
        <v>275.68</v>
      </c>
      <c r="AA132" s="368"/>
      <c r="AB132" s="364">
        <f t="shared" si="140"/>
        <v>0</v>
      </c>
      <c r="AC132" s="364">
        <f t="shared" si="141"/>
        <v>275.68</v>
      </c>
      <c r="AD132" s="364">
        <v>0</v>
      </c>
      <c r="AE132" s="364">
        <v>0</v>
      </c>
      <c r="AF132" s="364">
        <v>0</v>
      </c>
      <c r="AG132" s="372">
        <v>0</v>
      </c>
      <c r="AH132" s="364">
        <f t="shared" si="142"/>
        <v>275.68</v>
      </c>
      <c r="AI132" s="414">
        <f t="shared" si="143"/>
        <v>3500.27</v>
      </c>
      <c r="AJ132" s="184"/>
      <c r="AK132" s="225"/>
    </row>
    <row r="133" spans="2:38" ht="21" customHeight="1" x14ac:dyDescent="0.25">
      <c r="B133" s="404">
        <v>97</v>
      </c>
      <c r="C133" s="495" t="s">
        <v>344</v>
      </c>
      <c r="D133" s="362" t="s">
        <v>156</v>
      </c>
      <c r="E133" s="369"/>
      <c r="F133" s="362">
        <v>15</v>
      </c>
      <c r="G133" s="363">
        <v>78.8</v>
      </c>
      <c r="H133" s="364">
        <f t="shared" si="132"/>
        <v>1182</v>
      </c>
      <c r="I133" s="365">
        <v>0</v>
      </c>
      <c r="J133" s="365">
        <v>0</v>
      </c>
      <c r="K133" s="365">
        <v>0</v>
      </c>
      <c r="L133" s="365">
        <v>0</v>
      </c>
      <c r="M133" s="365">
        <v>0</v>
      </c>
      <c r="N133" s="365">
        <v>0</v>
      </c>
      <c r="O133" s="364">
        <f t="shared" si="134"/>
        <v>1182</v>
      </c>
      <c r="P133" s="366"/>
      <c r="Q133" s="364">
        <v>0</v>
      </c>
      <c r="R133" s="364">
        <f t="shared" si="135"/>
        <v>1182</v>
      </c>
      <c r="S133" s="364">
        <f t="shared" si="133"/>
        <v>318.01</v>
      </c>
      <c r="T133" s="364">
        <f t="shared" si="136"/>
        <v>863.99</v>
      </c>
      <c r="U133" s="367">
        <f>VLOOKUP(R133,TARIFA1,3)</f>
        <v>6.4000000000000001E-2</v>
      </c>
      <c r="V133" s="364">
        <f t="shared" si="137"/>
        <v>55.295360000000002</v>
      </c>
      <c r="W133" s="364">
        <f>VLOOKUP(R133,TARIFA1,2)</f>
        <v>6.15</v>
      </c>
      <c r="X133" s="364">
        <f t="shared" si="138"/>
        <v>61.445360000000001</v>
      </c>
      <c r="Y133" s="364">
        <f>VLOOKUP(R133,Credito1,2)</f>
        <v>200.7</v>
      </c>
      <c r="Z133" s="364">
        <f t="shared" si="139"/>
        <v>-139.25</v>
      </c>
      <c r="AA133" s="368"/>
      <c r="AB133" s="364">
        <f t="shared" si="140"/>
        <v>139.25</v>
      </c>
      <c r="AC133" s="364">
        <f t="shared" si="141"/>
        <v>0</v>
      </c>
      <c r="AD133" s="364">
        <v>0</v>
      </c>
      <c r="AE133" s="364">
        <v>0</v>
      </c>
      <c r="AF133" s="364">
        <v>0</v>
      </c>
      <c r="AG133" s="372">
        <v>0</v>
      </c>
      <c r="AH133" s="364">
        <f t="shared" si="142"/>
        <v>0</v>
      </c>
      <c r="AI133" s="414">
        <f t="shared" si="143"/>
        <v>1321.25</v>
      </c>
      <c r="AJ133" s="184"/>
      <c r="AK133" s="225"/>
    </row>
    <row r="134" spans="2:38" ht="21" customHeight="1" x14ac:dyDescent="0.25">
      <c r="B134" s="404"/>
      <c r="C134" s="495"/>
      <c r="D134" s="370" t="s">
        <v>111</v>
      </c>
      <c r="E134" s="570"/>
      <c r="F134" s="571"/>
      <c r="G134" s="572"/>
      <c r="H134" s="371">
        <f>SUM(H129:H133)</f>
        <v>10649.95</v>
      </c>
      <c r="I134" s="371">
        <f>SUM(I129:I133)</f>
        <v>0</v>
      </c>
      <c r="J134" s="364">
        <f>SUM(J129:J132)</f>
        <v>0</v>
      </c>
      <c r="K134" s="371">
        <f>SUM(K129:K133)</f>
        <v>0</v>
      </c>
      <c r="L134" s="364">
        <f t="shared" ref="L134:AF134" si="144">SUM(L129:L130)</f>
        <v>0</v>
      </c>
      <c r="M134" s="371">
        <f t="shared" si="144"/>
        <v>0</v>
      </c>
      <c r="N134" s="364">
        <f t="shared" si="144"/>
        <v>0</v>
      </c>
      <c r="O134" s="371">
        <f>SUM(O129:O133)</f>
        <v>10649.95</v>
      </c>
      <c r="P134" s="371">
        <f t="shared" si="144"/>
        <v>0</v>
      </c>
      <c r="Q134" s="364">
        <f t="shared" si="144"/>
        <v>0</v>
      </c>
      <c r="R134" s="371">
        <f t="shared" si="144"/>
        <v>3692</v>
      </c>
      <c r="S134" s="364">
        <f t="shared" si="133"/>
        <v>2699.41</v>
      </c>
      <c r="T134" s="371">
        <f t="shared" si="144"/>
        <v>3055.9799999999996</v>
      </c>
      <c r="U134" s="371">
        <f t="shared" si="144"/>
        <v>0.128</v>
      </c>
      <c r="V134" s="371">
        <f t="shared" si="144"/>
        <v>195.58271999999999</v>
      </c>
      <c r="W134" s="371">
        <f t="shared" si="144"/>
        <v>12.3</v>
      </c>
      <c r="X134" s="371">
        <f t="shared" si="144"/>
        <v>207.88271999999998</v>
      </c>
      <c r="Y134" s="371">
        <f t="shared" si="144"/>
        <v>346.04999999999995</v>
      </c>
      <c r="Z134" s="371">
        <f t="shared" si="144"/>
        <v>-138.16000000000003</v>
      </c>
      <c r="AA134" s="371"/>
      <c r="AB134" s="371">
        <f>SUM(AB129:AB133)</f>
        <v>364.73</v>
      </c>
      <c r="AC134" s="371">
        <f>SUM(AC129:AC133)</f>
        <v>288.10000000000002</v>
      </c>
      <c r="AD134" s="371">
        <f t="shared" si="144"/>
        <v>0</v>
      </c>
      <c r="AE134" s="371">
        <f t="shared" si="144"/>
        <v>0</v>
      </c>
      <c r="AF134" s="371">
        <f t="shared" si="144"/>
        <v>0</v>
      </c>
      <c r="AG134" s="371">
        <f>SUM(AG129:AG133)</f>
        <v>0</v>
      </c>
      <c r="AH134" s="371">
        <f>SUM(AH129:AH133)</f>
        <v>288.10000000000002</v>
      </c>
      <c r="AI134" s="415">
        <f>SUM(AI129:AI133)</f>
        <v>10726.58</v>
      </c>
      <c r="AJ134" s="164"/>
      <c r="AK134" s="225"/>
      <c r="AL134" s="108">
        <f>O134+AB134-AH134</f>
        <v>10726.58</v>
      </c>
    </row>
    <row r="135" spans="2:38" ht="21.75" customHeight="1" x14ac:dyDescent="0.25">
      <c r="B135" s="573" t="s">
        <v>135</v>
      </c>
      <c r="C135" s="573"/>
      <c r="D135" s="573"/>
      <c r="E135" s="573"/>
      <c r="F135" s="573"/>
      <c r="G135" s="573"/>
      <c r="H135" s="573"/>
      <c r="I135" s="573"/>
      <c r="J135" s="573"/>
      <c r="K135" s="573"/>
      <c r="L135" s="573"/>
      <c r="M135" s="573"/>
      <c r="N135" s="573"/>
      <c r="O135" s="573"/>
      <c r="P135" s="573"/>
      <c r="Q135" s="573"/>
      <c r="R135" s="573"/>
      <c r="S135" s="573"/>
      <c r="T135" s="573"/>
      <c r="U135" s="573"/>
      <c r="V135" s="573"/>
      <c r="W135" s="573"/>
      <c r="X135" s="573"/>
      <c r="Y135" s="573"/>
      <c r="Z135" s="573"/>
      <c r="AA135" s="573"/>
      <c r="AB135" s="573"/>
      <c r="AC135" s="573"/>
      <c r="AD135" s="573"/>
      <c r="AE135" s="573"/>
      <c r="AF135" s="573"/>
      <c r="AG135" s="573"/>
      <c r="AH135" s="573"/>
      <c r="AI135" s="573"/>
      <c r="AJ135" s="573"/>
      <c r="AK135" s="225"/>
    </row>
    <row r="136" spans="2:38" s="133" customFormat="1" ht="21" customHeight="1" x14ac:dyDescent="0.3">
      <c r="B136" s="309">
        <v>98</v>
      </c>
      <c r="C136" s="495" t="s">
        <v>433</v>
      </c>
      <c r="D136" s="361" t="s">
        <v>152</v>
      </c>
      <c r="E136" s="361"/>
      <c r="F136" s="361">
        <v>15</v>
      </c>
      <c r="G136" s="361">
        <v>196</v>
      </c>
      <c r="H136" s="364">
        <f>F136*G136</f>
        <v>2940</v>
      </c>
      <c r="I136" s="361">
        <v>0</v>
      </c>
      <c r="J136" s="361">
        <v>0</v>
      </c>
      <c r="K136" s="361">
        <v>0</v>
      </c>
      <c r="L136" s="361">
        <v>0</v>
      </c>
      <c r="M136" s="361">
        <v>0</v>
      </c>
      <c r="N136" s="361">
        <v>0</v>
      </c>
      <c r="O136" s="364">
        <f>SUM(H136:N136)</f>
        <v>2940</v>
      </c>
      <c r="P136" s="361"/>
      <c r="Q136" s="361">
        <v>0</v>
      </c>
      <c r="R136" s="364">
        <f t="shared" ref="R136:R138" si="145">H136+I136+J136+M136+Q136+K136</f>
        <v>2940</v>
      </c>
      <c r="S136" s="364">
        <f>VLOOKUP(R136,TARIFA1,1)</f>
        <v>2699.41</v>
      </c>
      <c r="T136" s="364">
        <f t="shared" ref="T136:T138" si="146">R136-S136</f>
        <v>240.59000000000015</v>
      </c>
      <c r="U136" s="367">
        <f>VLOOKUP(R136,TARIFA1,3)</f>
        <v>0.10879999999999999</v>
      </c>
      <c r="V136" s="364">
        <f t="shared" ref="V136:V138" si="147">T136*U136</f>
        <v>26.176192000000015</v>
      </c>
      <c r="W136" s="364">
        <f>VLOOKUP(R136,TARIFA1,2)</f>
        <v>158.55000000000001</v>
      </c>
      <c r="X136" s="364">
        <f t="shared" ref="X136:X138" si="148">V136+W136</f>
        <v>184.72619200000003</v>
      </c>
      <c r="Y136" s="364">
        <f>VLOOKUP(R136,Credito1,2)</f>
        <v>145.35</v>
      </c>
      <c r="Z136" s="364">
        <f>ROUND(X136-Y136,2)</f>
        <v>39.380000000000003</v>
      </c>
      <c r="AA136" s="361"/>
      <c r="AB136" s="364">
        <f t="shared" ref="AB136:AB138" si="149">-IF(Z136&gt;0,0,Z136)</f>
        <v>0</v>
      </c>
      <c r="AC136" s="364">
        <f t="shared" ref="AC136:AC138" si="150">IF(Z136&lt;0,0,Z136)</f>
        <v>39.380000000000003</v>
      </c>
      <c r="AD136" s="364">
        <v>0</v>
      </c>
      <c r="AE136" s="364">
        <v>0</v>
      </c>
      <c r="AF136" s="364">
        <v>0</v>
      </c>
      <c r="AG136" s="372">
        <v>0</v>
      </c>
      <c r="AH136" s="364">
        <f>SUM(AC136:AG136)</f>
        <v>39.380000000000003</v>
      </c>
      <c r="AI136" s="418">
        <f>O136+AB136-AH136</f>
        <v>2900.62</v>
      </c>
      <c r="AJ136" s="156"/>
      <c r="AK136" s="225"/>
    </row>
    <row r="137" spans="2:38" s="133" customFormat="1" ht="21" customHeight="1" x14ac:dyDescent="0.3">
      <c r="B137" s="309">
        <v>99</v>
      </c>
      <c r="C137" s="495" t="s">
        <v>458</v>
      </c>
      <c r="D137" s="361" t="s">
        <v>120</v>
      </c>
      <c r="E137" s="361"/>
      <c r="F137" s="361">
        <v>15</v>
      </c>
      <c r="G137" s="361">
        <v>44.2</v>
      </c>
      <c r="H137" s="364">
        <f t="shared" ref="H137:H139" si="151">ROUND(F137*G137,2)</f>
        <v>663</v>
      </c>
      <c r="I137" s="361">
        <v>0</v>
      </c>
      <c r="J137" s="361">
        <v>0</v>
      </c>
      <c r="K137" s="361">
        <v>0</v>
      </c>
      <c r="L137" s="361">
        <v>0</v>
      </c>
      <c r="M137" s="361">
        <v>0</v>
      </c>
      <c r="N137" s="361">
        <v>0</v>
      </c>
      <c r="O137" s="364">
        <f>SUM(H137:N137)</f>
        <v>663</v>
      </c>
      <c r="P137" s="361"/>
      <c r="Q137" s="361">
        <v>0</v>
      </c>
      <c r="R137" s="364">
        <f t="shared" si="145"/>
        <v>663</v>
      </c>
      <c r="S137" s="364">
        <f>VLOOKUP(R137,TARIFA1,1)</f>
        <v>318.01</v>
      </c>
      <c r="T137" s="364">
        <f t="shared" si="146"/>
        <v>344.99</v>
      </c>
      <c r="U137" s="367">
        <f>VLOOKUP(R137,TARIFA1,3)</f>
        <v>6.4000000000000001E-2</v>
      </c>
      <c r="V137" s="364">
        <f t="shared" si="147"/>
        <v>22.079360000000001</v>
      </c>
      <c r="W137" s="364">
        <f>VLOOKUP(R137,TARIFA1,2)</f>
        <v>6.15</v>
      </c>
      <c r="X137" s="364">
        <f t="shared" si="148"/>
        <v>28.22936</v>
      </c>
      <c r="Y137" s="364">
        <f>VLOOKUP(R137,Credito1,2)</f>
        <v>200.85</v>
      </c>
      <c r="Z137" s="364">
        <f>ROUND(X137-Y137,2)</f>
        <v>-172.62</v>
      </c>
      <c r="AA137" s="361"/>
      <c r="AB137" s="364">
        <f t="shared" si="149"/>
        <v>172.62</v>
      </c>
      <c r="AC137" s="364">
        <f t="shared" si="150"/>
        <v>0</v>
      </c>
      <c r="AD137" s="364">
        <v>0</v>
      </c>
      <c r="AE137" s="364">
        <v>0</v>
      </c>
      <c r="AF137" s="364">
        <v>0</v>
      </c>
      <c r="AG137" s="372">
        <v>0</v>
      </c>
      <c r="AH137" s="364">
        <f>SUM(AC137:AG137)</f>
        <v>0</v>
      </c>
      <c r="AI137" s="418">
        <f>O137+AB137-AH137</f>
        <v>835.62</v>
      </c>
      <c r="AJ137" s="156"/>
      <c r="AK137" s="225"/>
    </row>
    <row r="138" spans="2:38" s="103" customFormat="1" ht="21" customHeight="1" x14ac:dyDescent="0.25">
      <c r="B138" s="404">
        <v>100</v>
      </c>
      <c r="C138" s="497" t="s">
        <v>505</v>
      </c>
      <c r="D138" s="362" t="s">
        <v>210</v>
      </c>
      <c r="E138" s="369"/>
      <c r="F138" s="362">
        <v>15</v>
      </c>
      <c r="G138" s="363">
        <v>266.66660000000002</v>
      </c>
      <c r="H138" s="364">
        <f t="shared" si="151"/>
        <v>4000</v>
      </c>
      <c r="I138" s="364">
        <v>0</v>
      </c>
      <c r="J138" s="364">
        <v>0</v>
      </c>
      <c r="K138" s="364">
        <v>0</v>
      </c>
      <c r="L138" s="364">
        <v>0</v>
      </c>
      <c r="M138" s="364">
        <v>0</v>
      </c>
      <c r="N138" s="364">
        <v>0</v>
      </c>
      <c r="O138" s="364">
        <f t="shared" ref="O138" si="152">SUM(H138:N138)</f>
        <v>4000</v>
      </c>
      <c r="P138" s="364"/>
      <c r="Q138" s="364">
        <v>0</v>
      </c>
      <c r="R138" s="364">
        <f t="shared" si="145"/>
        <v>4000</v>
      </c>
      <c r="S138" s="364">
        <f>VLOOKUP(R138,TARIFA1,1)</f>
        <v>2699.41</v>
      </c>
      <c r="T138" s="364">
        <f t="shared" si="146"/>
        <v>1300.5900000000001</v>
      </c>
      <c r="U138" s="367">
        <f>VLOOKUP(R138,TARIFA1,3)</f>
        <v>0.10879999999999999</v>
      </c>
      <c r="V138" s="364">
        <f t="shared" si="147"/>
        <v>141.50419200000002</v>
      </c>
      <c r="W138" s="364">
        <f>VLOOKUP(R138,TARIFA1,2)</f>
        <v>158.55000000000001</v>
      </c>
      <c r="X138" s="364">
        <f t="shared" si="148"/>
        <v>300.05419200000006</v>
      </c>
      <c r="Y138" s="364">
        <f>VLOOKUP(R138,Credito1,2)</f>
        <v>0</v>
      </c>
      <c r="Z138" s="364">
        <f t="shared" ref="Z138" si="153">ROUND(X138-Y138,2)</f>
        <v>300.05</v>
      </c>
      <c r="AA138" s="364"/>
      <c r="AB138" s="364">
        <f t="shared" si="149"/>
        <v>0</v>
      </c>
      <c r="AC138" s="364">
        <f t="shared" si="150"/>
        <v>300.05</v>
      </c>
      <c r="AD138" s="364">
        <v>0</v>
      </c>
      <c r="AE138" s="364">
        <v>0</v>
      </c>
      <c r="AF138" s="364">
        <v>0</v>
      </c>
      <c r="AG138" s="372">
        <v>0</v>
      </c>
      <c r="AH138" s="364">
        <f t="shared" ref="AH138" si="154">SUM(AC138:AG138)</f>
        <v>300.05</v>
      </c>
      <c r="AI138" s="418">
        <f t="shared" ref="AI138:AI139" si="155">O138+AB138-AH138</f>
        <v>3699.95</v>
      </c>
      <c r="AJ138" s="184"/>
      <c r="AK138" s="225"/>
    </row>
    <row r="139" spans="2:38" ht="21" customHeight="1" x14ac:dyDescent="0.25">
      <c r="B139" s="404">
        <v>101</v>
      </c>
      <c r="C139" s="495" t="s">
        <v>437</v>
      </c>
      <c r="D139" s="362" t="s">
        <v>150</v>
      </c>
      <c r="E139" s="369"/>
      <c r="F139" s="362">
        <v>15</v>
      </c>
      <c r="G139" s="363">
        <v>118.533</v>
      </c>
      <c r="H139" s="364">
        <f t="shared" si="151"/>
        <v>1778</v>
      </c>
      <c r="I139" s="365">
        <v>0</v>
      </c>
      <c r="J139" s="365">
        <v>0</v>
      </c>
      <c r="K139" s="365">
        <v>0</v>
      </c>
      <c r="L139" s="365">
        <v>0</v>
      </c>
      <c r="M139" s="365">
        <v>0</v>
      </c>
      <c r="N139" s="365">
        <v>0</v>
      </c>
      <c r="O139" s="364">
        <f>SUM(H139:N139)</f>
        <v>1778</v>
      </c>
      <c r="P139" s="366"/>
      <c r="Q139" s="364">
        <f>IF(G139=47.16,0,IF(G139&gt;47.16,L139*0.5,0))</f>
        <v>0</v>
      </c>
      <c r="R139" s="364">
        <f>H139+I139+J139+M139+Q139+K139</f>
        <v>1778</v>
      </c>
      <c r="S139" s="364">
        <f>VLOOKUP(R139,TARIFA1,1)</f>
        <v>318.01</v>
      </c>
      <c r="T139" s="364">
        <f>R139-S139</f>
        <v>1459.99</v>
      </c>
      <c r="U139" s="367">
        <f>VLOOKUP(R139,TARIFA1,3)</f>
        <v>6.4000000000000001E-2</v>
      </c>
      <c r="V139" s="364">
        <f>T139*U139</f>
        <v>93.439360000000008</v>
      </c>
      <c r="W139" s="364">
        <f>VLOOKUP(R139,TARIFA1,2)</f>
        <v>6.15</v>
      </c>
      <c r="X139" s="364">
        <f>V139+W139</f>
        <v>99.589360000000013</v>
      </c>
      <c r="Y139" s="364">
        <f>VLOOKUP(R139,Credito1,2)</f>
        <v>188.7</v>
      </c>
      <c r="Z139" s="364">
        <f>ROUND(X139-Y139,2)</f>
        <v>-89.11</v>
      </c>
      <c r="AA139" s="368"/>
      <c r="AB139" s="364">
        <f>-IF(Z139&gt;0,0,Z139)</f>
        <v>89.11</v>
      </c>
      <c r="AC139" s="364">
        <f>IF(Z139&lt;0,0,Z139)</f>
        <v>0</v>
      </c>
      <c r="AD139" s="364">
        <v>0</v>
      </c>
      <c r="AE139" s="364">
        <v>0</v>
      </c>
      <c r="AF139" s="364">
        <v>0</v>
      </c>
      <c r="AG139" s="372">
        <v>0</v>
      </c>
      <c r="AH139" s="364">
        <f>SUM(AC139:AG139)</f>
        <v>0</v>
      </c>
      <c r="AI139" s="418">
        <f t="shared" si="155"/>
        <v>1867.11</v>
      </c>
      <c r="AJ139" s="184"/>
      <c r="AK139" s="225"/>
    </row>
    <row r="140" spans="2:38" ht="19.5" customHeight="1" x14ac:dyDescent="0.25">
      <c r="B140" s="404"/>
      <c r="C140" s="495"/>
      <c r="D140" s="370" t="s">
        <v>111</v>
      </c>
      <c r="E140" s="570"/>
      <c r="F140" s="571"/>
      <c r="G140" s="572"/>
      <c r="H140" s="371">
        <f>SUM(H136:H139)</f>
        <v>9381</v>
      </c>
      <c r="I140" s="371">
        <f t="shared" ref="I140:AH140" si="156">SUM(I136:I139)</f>
        <v>0</v>
      </c>
      <c r="J140" s="371">
        <f t="shared" si="156"/>
        <v>0</v>
      </c>
      <c r="K140" s="371">
        <f t="shared" si="156"/>
        <v>0</v>
      </c>
      <c r="L140" s="371">
        <f t="shared" si="156"/>
        <v>0</v>
      </c>
      <c r="M140" s="371">
        <f t="shared" si="156"/>
        <v>0</v>
      </c>
      <c r="N140" s="371">
        <f t="shared" si="156"/>
        <v>0</v>
      </c>
      <c r="O140" s="371">
        <f t="shared" si="156"/>
        <v>9381</v>
      </c>
      <c r="P140" s="371">
        <f t="shared" si="156"/>
        <v>0</v>
      </c>
      <c r="Q140" s="364">
        <f t="shared" si="156"/>
        <v>0</v>
      </c>
      <c r="R140" s="371">
        <f t="shared" si="156"/>
        <v>9381</v>
      </c>
      <c r="S140" s="371">
        <f t="shared" si="156"/>
        <v>6034.84</v>
      </c>
      <c r="T140" s="371">
        <f t="shared" si="156"/>
        <v>3346.1600000000003</v>
      </c>
      <c r="U140" s="371">
        <f t="shared" si="156"/>
        <v>0.34560000000000002</v>
      </c>
      <c r="V140" s="371">
        <f t="shared" si="156"/>
        <v>283.19910400000003</v>
      </c>
      <c r="W140" s="371">
        <f t="shared" si="156"/>
        <v>329.4</v>
      </c>
      <c r="X140" s="371">
        <f t="shared" si="156"/>
        <v>612.59910400000012</v>
      </c>
      <c r="Y140" s="371">
        <f t="shared" si="156"/>
        <v>534.9</v>
      </c>
      <c r="Z140" s="371">
        <f t="shared" si="156"/>
        <v>77.7</v>
      </c>
      <c r="AA140" s="371">
        <f t="shared" si="156"/>
        <v>0</v>
      </c>
      <c r="AB140" s="371">
        <f t="shared" si="156"/>
        <v>261.73</v>
      </c>
      <c r="AC140" s="371">
        <f t="shared" si="156"/>
        <v>339.43</v>
      </c>
      <c r="AD140" s="371">
        <f t="shared" si="156"/>
        <v>0</v>
      </c>
      <c r="AE140" s="371">
        <f t="shared" si="156"/>
        <v>0</v>
      </c>
      <c r="AF140" s="371">
        <f t="shared" si="156"/>
        <v>0</v>
      </c>
      <c r="AG140" s="371">
        <f t="shared" si="156"/>
        <v>0</v>
      </c>
      <c r="AH140" s="371">
        <f t="shared" si="156"/>
        <v>339.43</v>
      </c>
      <c r="AI140" s="415">
        <f>SUM(AI136:AI139)</f>
        <v>9303.2999999999993</v>
      </c>
      <c r="AJ140" s="164"/>
      <c r="AK140" s="225"/>
      <c r="AL140" s="108">
        <f>O140+AB140-AH140</f>
        <v>9303.2999999999993</v>
      </c>
    </row>
    <row r="141" spans="2:38" ht="21" hidden="1" customHeight="1" x14ac:dyDescent="0.25">
      <c r="B141" s="588" t="s">
        <v>137</v>
      </c>
      <c r="C141" s="588"/>
      <c r="D141" s="588"/>
      <c r="E141" s="588"/>
      <c r="F141" s="588"/>
      <c r="G141" s="588"/>
      <c r="H141" s="588"/>
      <c r="I141" s="588"/>
      <c r="J141" s="588"/>
      <c r="K141" s="588"/>
      <c r="L141" s="588"/>
      <c r="M141" s="588"/>
      <c r="N141" s="588"/>
      <c r="O141" s="588"/>
      <c r="P141" s="588"/>
      <c r="Q141" s="588"/>
      <c r="R141" s="588"/>
      <c r="S141" s="588"/>
      <c r="T141" s="588"/>
      <c r="U141" s="588"/>
      <c r="V141" s="588"/>
      <c r="W141" s="588"/>
      <c r="X141" s="588"/>
      <c r="Y141" s="588"/>
      <c r="Z141" s="588"/>
      <c r="AA141" s="588"/>
      <c r="AB141" s="588"/>
      <c r="AC141" s="588"/>
      <c r="AD141" s="588"/>
      <c r="AE141" s="588"/>
      <c r="AF141" s="588"/>
      <c r="AG141" s="588"/>
      <c r="AH141" s="588"/>
      <c r="AI141" s="588"/>
      <c r="AJ141" s="588"/>
      <c r="AK141" s="225"/>
    </row>
    <row r="142" spans="2:38" ht="21" hidden="1" customHeight="1" x14ac:dyDescent="0.25">
      <c r="B142" s="404"/>
      <c r="C142" s="495"/>
      <c r="D142" s="362" t="s">
        <v>162</v>
      </c>
      <c r="E142" s="362"/>
      <c r="F142" s="362">
        <v>15</v>
      </c>
      <c r="G142" s="363">
        <v>531.46</v>
      </c>
      <c r="H142" s="364"/>
      <c r="I142" s="365">
        <v>0</v>
      </c>
      <c r="J142" s="365">
        <v>0</v>
      </c>
      <c r="K142" s="365">
        <v>0</v>
      </c>
      <c r="L142" s="365">
        <v>0</v>
      </c>
      <c r="M142" s="365">
        <v>0</v>
      </c>
      <c r="N142" s="365">
        <v>0</v>
      </c>
      <c r="O142" s="364">
        <f t="shared" ref="O142:O149" si="157">SUM(H142:N142)</f>
        <v>0</v>
      </c>
      <c r="P142" s="366"/>
      <c r="Q142" s="364">
        <f t="shared" ref="Q142:Q149" si="158">IF(G142=47.16,0,IF(G142&gt;47.16,L142*0.5,0))</f>
        <v>0</v>
      </c>
      <c r="R142" s="364">
        <f t="shared" ref="R142:R149" si="159">H142+I142+J142+M142+Q142+K142</f>
        <v>0</v>
      </c>
      <c r="S142" s="364" t="e">
        <f t="shared" ref="S142:S149" si="160">VLOOKUP(R142,TARIFA1,1)</f>
        <v>#N/A</v>
      </c>
      <c r="T142" s="364" t="e">
        <f t="shared" ref="T142:T149" si="161">R142-S142</f>
        <v>#N/A</v>
      </c>
      <c r="U142" s="367" t="e">
        <f t="shared" ref="U142:U149" si="162">VLOOKUP(R142,TARIFA1,3)</f>
        <v>#N/A</v>
      </c>
      <c r="V142" s="364" t="e">
        <f t="shared" ref="V142:V149" si="163">T142*U142</f>
        <v>#N/A</v>
      </c>
      <c r="W142" s="364" t="e">
        <f t="shared" ref="W142:W149" si="164">VLOOKUP(R142,TARIFA1,2)</f>
        <v>#N/A</v>
      </c>
      <c r="X142" s="364" t="e">
        <f t="shared" ref="X142:X149" si="165">V142+W142</f>
        <v>#N/A</v>
      </c>
      <c r="Y142" s="364" t="e">
        <f t="shared" ref="Y142:Y149" si="166">VLOOKUP(R142,Credito1,2)</f>
        <v>#N/A</v>
      </c>
      <c r="Z142" s="364" t="e">
        <f t="shared" ref="Z142:Z149" si="167">ROUND(X142-Y142,2)</f>
        <v>#N/A</v>
      </c>
      <c r="AA142" s="368"/>
      <c r="AB142" s="364" t="e">
        <f t="shared" ref="AB142:AB149" si="168">-IF(Z142&gt;0,0,Z142)</f>
        <v>#N/A</v>
      </c>
      <c r="AC142" s="364" t="e">
        <f t="shared" ref="AC142:AC149" si="169">IF(Z142&lt;0,0,Z142)</f>
        <v>#N/A</v>
      </c>
      <c r="AD142" s="364">
        <v>0</v>
      </c>
      <c r="AE142" s="365">
        <v>0</v>
      </c>
      <c r="AF142" s="365">
        <v>0</v>
      </c>
      <c r="AG142" s="372">
        <v>0</v>
      </c>
      <c r="AH142" s="364" t="e">
        <f t="shared" ref="AH142:AH149" si="170">SUM(AC142:AG142)</f>
        <v>#N/A</v>
      </c>
      <c r="AI142" s="414" t="e">
        <f t="shared" ref="AI142:AI149" si="171">O142+AB142-AH142</f>
        <v>#N/A</v>
      </c>
      <c r="AJ142" s="184"/>
      <c r="AK142" s="225"/>
    </row>
    <row r="143" spans="2:38" ht="21" hidden="1" customHeight="1" x14ac:dyDescent="0.25">
      <c r="B143" s="404"/>
      <c r="C143" s="495"/>
      <c r="D143" s="362" t="s">
        <v>120</v>
      </c>
      <c r="E143" s="362"/>
      <c r="F143" s="362">
        <v>15</v>
      </c>
      <c r="G143" s="363">
        <v>531.46</v>
      </c>
      <c r="H143" s="364"/>
      <c r="I143" s="365">
        <v>0</v>
      </c>
      <c r="J143" s="365">
        <v>0</v>
      </c>
      <c r="K143" s="365">
        <v>0</v>
      </c>
      <c r="L143" s="365">
        <v>0</v>
      </c>
      <c r="M143" s="365">
        <v>0</v>
      </c>
      <c r="N143" s="365">
        <v>0</v>
      </c>
      <c r="O143" s="364">
        <f t="shared" si="157"/>
        <v>0</v>
      </c>
      <c r="P143" s="366"/>
      <c r="Q143" s="364">
        <f t="shared" si="158"/>
        <v>0</v>
      </c>
      <c r="R143" s="364">
        <f t="shared" si="159"/>
        <v>0</v>
      </c>
      <c r="S143" s="364" t="e">
        <f t="shared" si="160"/>
        <v>#N/A</v>
      </c>
      <c r="T143" s="364" t="e">
        <f t="shared" si="161"/>
        <v>#N/A</v>
      </c>
      <c r="U143" s="367" t="e">
        <f t="shared" si="162"/>
        <v>#N/A</v>
      </c>
      <c r="V143" s="364" t="e">
        <f t="shared" si="163"/>
        <v>#N/A</v>
      </c>
      <c r="W143" s="364" t="e">
        <f t="shared" si="164"/>
        <v>#N/A</v>
      </c>
      <c r="X143" s="364" t="e">
        <f t="shared" si="165"/>
        <v>#N/A</v>
      </c>
      <c r="Y143" s="364" t="e">
        <f t="shared" si="166"/>
        <v>#N/A</v>
      </c>
      <c r="Z143" s="364" t="e">
        <f t="shared" si="167"/>
        <v>#N/A</v>
      </c>
      <c r="AA143" s="368"/>
      <c r="AB143" s="364" t="e">
        <f t="shared" si="168"/>
        <v>#N/A</v>
      </c>
      <c r="AC143" s="364" t="e">
        <f t="shared" si="169"/>
        <v>#N/A</v>
      </c>
      <c r="AD143" s="364">
        <v>0</v>
      </c>
      <c r="AE143" s="365">
        <v>0</v>
      </c>
      <c r="AF143" s="365">
        <v>0</v>
      </c>
      <c r="AG143" s="372">
        <v>0</v>
      </c>
      <c r="AH143" s="364" t="e">
        <f t="shared" si="170"/>
        <v>#N/A</v>
      </c>
      <c r="AI143" s="414" t="e">
        <f t="shared" si="171"/>
        <v>#N/A</v>
      </c>
      <c r="AJ143" s="184"/>
      <c r="AK143" s="225"/>
    </row>
    <row r="144" spans="2:38" ht="21" hidden="1" customHeight="1" x14ac:dyDescent="0.25">
      <c r="B144" s="404"/>
      <c r="C144" s="495"/>
      <c r="D144" s="362" t="s">
        <v>178</v>
      </c>
      <c r="E144" s="362"/>
      <c r="F144" s="362">
        <v>15</v>
      </c>
      <c r="G144" s="363">
        <v>531.46</v>
      </c>
      <c r="H144" s="364"/>
      <c r="I144" s="365">
        <v>0</v>
      </c>
      <c r="J144" s="365">
        <v>0</v>
      </c>
      <c r="K144" s="365">
        <v>0</v>
      </c>
      <c r="L144" s="365">
        <v>0</v>
      </c>
      <c r="M144" s="365">
        <v>0</v>
      </c>
      <c r="N144" s="365">
        <v>0</v>
      </c>
      <c r="O144" s="364">
        <f t="shared" si="157"/>
        <v>0</v>
      </c>
      <c r="P144" s="366"/>
      <c r="Q144" s="364">
        <f t="shared" si="158"/>
        <v>0</v>
      </c>
      <c r="R144" s="364">
        <f t="shared" si="159"/>
        <v>0</v>
      </c>
      <c r="S144" s="364" t="e">
        <f t="shared" si="160"/>
        <v>#N/A</v>
      </c>
      <c r="T144" s="364" t="e">
        <f t="shared" si="161"/>
        <v>#N/A</v>
      </c>
      <c r="U144" s="367" t="e">
        <f t="shared" si="162"/>
        <v>#N/A</v>
      </c>
      <c r="V144" s="364" t="e">
        <f t="shared" si="163"/>
        <v>#N/A</v>
      </c>
      <c r="W144" s="364" t="e">
        <f t="shared" si="164"/>
        <v>#N/A</v>
      </c>
      <c r="X144" s="364" t="e">
        <f t="shared" si="165"/>
        <v>#N/A</v>
      </c>
      <c r="Y144" s="364" t="e">
        <f t="shared" si="166"/>
        <v>#N/A</v>
      </c>
      <c r="Z144" s="364" t="e">
        <f t="shared" si="167"/>
        <v>#N/A</v>
      </c>
      <c r="AA144" s="368"/>
      <c r="AB144" s="364" t="e">
        <f t="shared" si="168"/>
        <v>#N/A</v>
      </c>
      <c r="AC144" s="364" t="e">
        <f t="shared" si="169"/>
        <v>#N/A</v>
      </c>
      <c r="AD144" s="364">
        <v>0</v>
      </c>
      <c r="AE144" s="365">
        <v>0</v>
      </c>
      <c r="AF144" s="365">
        <v>0</v>
      </c>
      <c r="AG144" s="372">
        <v>0</v>
      </c>
      <c r="AH144" s="364" t="e">
        <f t="shared" si="170"/>
        <v>#N/A</v>
      </c>
      <c r="AI144" s="414" t="e">
        <f t="shared" si="171"/>
        <v>#N/A</v>
      </c>
      <c r="AJ144" s="184"/>
      <c r="AK144" s="225"/>
    </row>
    <row r="145" spans="2:40" ht="21" hidden="1" customHeight="1" x14ac:dyDescent="0.25">
      <c r="B145" s="404"/>
      <c r="C145" s="495"/>
      <c r="D145" s="362" t="s">
        <v>120</v>
      </c>
      <c r="E145" s="362"/>
      <c r="F145" s="362">
        <v>15</v>
      </c>
      <c r="G145" s="363">
        <v>531.46</v>
      </c>
      <c r="H145" s="364"/>
      <c r="I145" s="365">
        <v>0</v>
      </c>
      <c r="J145" s="365">
        <v>0</v>
      </c>
      <c r="K145" s="365">
        <v>0</v>
      </c>
      <c r="L145" s="365">
        <v>0</v>
      </c>
      <c r="M145" s="365">
        <v>0</v>
      </c>
      <c r="N145" s="365">
        <v>0</v>
      </c>
      <c r="O145" s="364">
        <f t="shared" si="157"/>
        <v>0</v>
      </c>
      <c r="P145" s="366"/>
      <c r="Q145" s="364">
        <f t="shared" si="158"/>
        <v>0</v>
      </c>
      <c r="R145" s="364">
        <f t="shared" si="159"/>
        <v>0</v>
      </c>
      <c r="S145" s="364" t="e">
        <f t="shared" si="160"/>
        <v>#N/A</v>
      </c>
      <c r="T145" s="364" t="e">
        <f t="shared" si="161"/>
        <v>#N/A</v>
      </c>
      <c r="U145" s="367" t="e">
        <f t="shared" si="162"/>
        <v>#N/A</v>
      </c>
      <c r="V145" s="364" t="e">
        <f t="shared" si="163"/>
        <v>#N/A</v>
      </c>
      <c r="W145" s="364" t="e">
        <f t="shared" si="164"/>
        <v>#N/A</v>
      </c>
      <c r="X145" s="364" t="e">
        <f t="shared" si="165"/>
        <v>#N/A</v>
      </c>
      <c r="Y145" s="364" t="e">
        <f t="shared" si="166"/>
        <v>#N/A</v>
      </c>
      <c r="Z145" s="364" t="e">
        <f t="shared" si="167"/>
        <v>#N/A</v>
      </c>
      <c r="AA145" s="368"/>
      <c r="AB145" s="364" t="e">
        <f t="shared" si="168"/>
        <v>#N/A</v>
      </c>
      <c r="AC145" s="364" t="e">
        <f t="shared" si="169"/>
        <v>#N/A</v>
      </c>
      <c r="AD145" s="364">
        <v>0</v>
      </c>
      <c r="AE145" s="365">
        <v>0</v>
      </c>
      <c r="AF145" s="365">
        <v>0</v>
      </c>
      <c r="AG145" s="372">
        <v>0</v>
      </c>
      <c r="AH145" s="364" t="e">
        <f t="shared" si="170"/>
        <v>#N/A</v>
      </c>
      <c r="AI145" s="414" t="e">
        <f t="shared" si="171"/>
        <v>#N/A</v>
      </c>
      <c r="AJ145" s="184"/>
      <c r="AK145" s="225"/>
    </row>
    <row r="146" spans="2:40" ht="21" hidden="1" customHeight="1" x14ac:dyDescent="0.25">
      <c r="B146" s="404"/>
      <c r="C146" s="495"/>
      <c r="D146" s="362" t="s">
        <v>180</v>
      </c>
      <c r="E146" s="362"/>
      <c r="F146" s="362">
        <v>15</v>
      </c>
      <c r="G146" s="363"/>
      <c r="H146" s="364"/>
      <c r="I146" s="365">
        <v>0</v>
      </c>
      <c r="J146" s="365">
        <v>0</v>
      </c>
      <c r="K146" s="365">
        <v>0</v>
      </c>
      <c r="L146" s="365">
        <v>0</v>
      </c>
      <c r="M146" s="365">
        <v>0</v>
      </c>
      <c r="N146" s="365">
        <v>0</v>
      </c>
      <c r="O146" s="364">
        <f t="shared" si="157"/>
        <v>0</v>
      </c>
      <c r="P146" s="366"/>
      <c r="Q146" s="364">
        <f t="shared" si="158"/>
        <v>0</v>
      </c>
      <c r="R146" s="364">
        <f t="shared" si="159"/>
        <v>0</v>
      </c>
      <c r="S146" s="364" t="e">
        <f t="shared" si="160"/>
        <v>#N/A</v>
      </c>
      <c r="T146" s="364" t="e">
        <f t="shared" si="161"/>
        <v>#N/A</v>
      </c>
      <c r="U146" s="367" t="e">
        <f t="shared" si="162"/>
        <v>#N/A</v>
      </c>
      <c r="V146" s="364" t="e">
        <f t="shared" si="163"/>
        <v>#N/A</v>
      </c>
      <c r="W146" s="364" t="e">
        <f t="shared" si="164"/>
        <v>#N/A</v>
      </c>
      <c r="X146" s="364" t="e">
        <f t="shared" si="165"/>
        <v>#N/A</v>
      </c>
      <c r="Y146" s="364" t="e">
        <f t="shared" si="166"/>
        <v>#N/A</v>
      </c>
      <c r="Z146" s="364" t="e">
        <f t="shared" si="167"/>
        <v>#N/A</v>
      </c>
      <c r="AA146" s="368"/>
      <c r="AB146" s="364" t="e">
        <f t="shared" si="168"/>
        <v>#N/A</v>
      </c>
      <c r="AC146" s="364" t="e">
        <f t="shared" si="169"/>
        <v>#N/A</v>
      </c>
      <c r="AD146" s="364">
        <v>0</v>
      </c>
      <c r="AE146" s="365">
        <v>0</v>
      </c>
      <c r="AF146" s="365">
        <v>0</v>
      </c>
      <c r="AG146" s="372">
        <v>0</v>
      </c>
      <c r="AH146" s="364" t="e">
        <f t="shared" si="170"/>
        <v>#N/A</v>
      </c>
      <c r="AI146" s="414" t="e">
        <f t="shared" si="171"/>
        <v>#N/A</v>
      </c>
      <c r="AJ146" s="184"/>
      <c r="AK146" s="225"/>
    </row>
    <row r="147" spans="2:40" ht="21" hidden="1" customHeight="1" x14ac:dyDescent="0.25">
      <c r="B147" s="404"/>
      <c r="C147" s="495"/>
      <c r="D147" s="362" t="s">
        <v>178</v>
      </c>
      <c r="E147" s="362"/>
      <c r="F147" s="362">
        <v>15</v>
      </c>
      <c r="G147" s="363"/>
      <c r="H147" s="364"/>
      <c r="I147" s="365">
        <v>0</v>
      </c>
      <c r="J147" s="365">
        <v>0</v>
      </c>
      <c r="K147" s="365">
        <v>0</v>
      </c>
      <c r="L147" s="365">
        <v>0</v>
      </c>
      <c r="M147" s="365">
        <v>0</v>
      </c>
      <c r="N147" s="365">
        <v>0</v>
      </c>
      <c r="O147" s="364">
        <f t="shared" si="157"/>
        <v>0</v>
      </c>
      <c r="P147" s="366"/>
      <c r="Q147" s="364">
        <f t="shared" si="158"/>
        <v>0</v>
      </c>
      <c r="R147" s="364">
        <f t="shared" si="159"/>
        <v>0</v>
      </c>
      <c r="S147" s="364" t="e">
        <f t="shared" si="160"/>
        <v>#N/A</v>
      </c>
      <c r="T147" s="364" t="e">
        <f t="shared" si="161"/>
        <v>#N/A</v>
      </c>
      <c r="U147" s="367" t="e">
        <f t="shared" si="162"/>
        <v>#N/A</v>
      </c>
      <c r="V147" s="364" t="e">
        <f t="shared" si="163"/>
        <v>#N/A</v>
      </c>
      <c r="W147" s="364" t="e">
        <f t="shared" si="164"/>
        <v>#N/A</v>
      </c>
      <c r="X147" s="364" t="e">
        <f t="shared" si="165"/>
        <v>#N/A</v>
      </c>
      <c r="Y147" s="364" t="e">
        <f t="shared" si="166"/>
        <v>#N/A</v>
      </c>
      <c r="Z147" s="364" t="e">
        <f t="shared" si="167"/>
        <v>#N/A</v>
      </c>
      <c r="AA147" s="368"/>
      <c r="AB147" s="364" t="e">
        <f t="shared" si="168"/>
        <v>#N/A</v>
      </c>
      <c r="AC147" s="364" t="e">
        <f t="shared" si="169"/>
        <v>#N/A</v>
      </c>
      <c r="AD147" s="364">
        <v>0</v>
      </c>
      <c r="AE147" s="365">
        <v>0</v>
      </c>
      <c r="AF147" s="365">
        <v>0</v>
      </c>
      <c r="AG147" s="372">
        <v>0</v>
      </c>
      <c r="AH147" s="364" t="e">
        <f t="shared" si="170"/>
        <v>#N/A</v>
      </c>
      <c r="AI147" s="414" t="e">
        <f t="shared" si="171"/>
        <v>#N/A</v>
      </c>
      <c r="AJ147" s="184"/>
      <c r="AK147" s="225"/>
    </row>
    <row r="148" spans="2:40" ht="21" hidden="1" customHeight="1" x14ac:dyDescent="0.25">
      <c r="B148" s="404"/>
      <c r="C148" s="495"/>
      <c r="D148" s="362" t="s">
        <v>120</v>
      </c>
      <c r="E148" s="362"/>
      <c r="F148" s="362">
        <v>15</v>
      </c>
      <c r="G148" s="363"/>
      <c r="H148" s="364"/>
      <c r="I148" s="365">
        <v>0</v>
      </c>
      <c r="J148" s="365">
        <v>0</v>
      </c>
      <c r="K148" s="365">
        <v>0</v>
      </c>
      <c r="L148" s="365">
        <v>0</v>
      </c>
      <c r="M148" s="365">
        <v>0</v>
      </c>
      <c r="N148" s="365">
        <v>0</v>
      </c>
      <c r="O148" s="364">
        <f t="shared" si="157"/>
        <v>0</v>
      </c>
      <c r="P148" s="366"/>
      <c r="Q148" s="364">
        <f t="shared" si="158"/>
        <v>0</v>
      </c>
      <c r="R148" s="364">
        <f t="shared" si="159"/>
        <v>0</v>
      </c>
      <c r="S148" s="364" t="e">
        <f t="shared" si="160"/>
        <v>#N/A</v>
      </c>
      <c r="T148" s="364" t="e">
        <f t="shared" si="161"/>
        <v>#N/A</v>
      </c>
      <c r="U148" s="367" t="e">
        <f t="shared" si="162"/>
        <v>#N/A</v>
      </c>
      <c r="V148" s="364" t="e">
        <f t="shared" si="163"/>
        <v>#N/A</v>
      </c>
      <c r="W148" s="364" t="e">
        <f t="shared" si="164"/>
        <v>#N/A</v>
      </c>
      <c r="X148" s="364" t="e">
        <f t="shared" si="165"/>
        <v>#N/A</v>
      </c>
      <c r="Y148" s="364" t="e">
        <f t="shared" si="166"/>
        <v>#N/A</v>
      </c>
      <c r="Z148" s="364" t="e">
        <f t="shared" si="167"/>
        <v>#N/A</v>
      </c>
      <c r="AA148" s="368"/>
      <c r="AB148" s="364" t="e">
        <f t="shared" si="168"/>
        <v>#N/A</v>
      </c>
      <c r="AC148" s="364" t="e">
        <f t="shared" si="169"/>
        <v>#N/A</v>
      </c>
      <c r="AD148" s="364">
        <v>0</v>
      </c>
      <c r="AE148" s="365">
        <v>0</v>
      </c>
      <c r="AF148" s="365">
        <v>0</v>
      </c>
      <c r="AG148" s="372">
        <v>0</v>
      </c>
      <c r="AH148" s="364" t="e">
        <f t="shared" si="170"/>
        <v>#N/A</v>
      </c>
      <c r="AI148" s="414" t="e">
        <f t="shared" si="171"/>
        <v>#N/A</v>
      </c>
      <c r="AJ148" s="184"/>
      <c r="AK148" s="225"/>
    </row>
    <row r="149" spans="2:40" ht="21" hidden="1" customHeight="1" x14ac:dyDescent="0.25">
      <c r="B149" s="404"/>
      <c r="C149" s="495"/>
      <c r="D149" s="362" t="s">
        <v>120</v>
      </c>
      <c r="E149" s="362"/>
      <c r="F149" s="362">
        <v>15</v>
      </c>
      <c r="G149" s="363"/>
      <c r="H149" s="364"/>
      <c r="I149" s="365">
        <v>0</v>
      </c>
      <c r="J149" s="365">
        <v>0</v>
      </c>
      <c r="K149" s="365">
        <v>0</v>
      </c>
      <c r="L149" s="365">
        <v>0</v>
      </c>
      <c r="M149" s="365">
        <v>0</v>
      </c>
      <c r="N149" s="365">
        <v>0</v>
      </c>
      <c r="O149" s="364">
        <f t="shared" si="157"/>
        <v>0</v>
      </c>
      <c r="P149" s="366"/>
      <c r="Q149" s="364">
        <f t="shared" si="158"/>
        <v>0</v>
      </c>
      <c r="R149" s="364">
        <f t="shared" si="159"/>
        <v>0</v>
      </c>
      <c r="S149" s="364" t="e">
        <f t="shared" si="160"/>
        <v>#N/A</v>
      </c>
      <c r="T149" s="364" t="e">
        <f t="shared" si="161"/>
        <v>#N/A</v>
      </c>
      <c r="U149" s="367" t="e">
        <f t="shared" si="162"/>
        <v>#N/A</v>
      </c>
      <c r="V149" s="364" t="e">
        <f t="shared" si="163"/>
        <v>#N/A</v>
      </c>
      <c r="W149" s="364" t="e">
        <f t="shared" si="164"/>
        <v>#N/A</v>
      </c>
      <c r="X149" s="364" t="e">
        <f t="shared" si="165"/>
        <v>#N/A</v>
      </c>
      <c r="Y149" s="364" t="e">
        <f t="shared" si="166"/>
        <v>#N/A</v>
      </c>
      <c r="Z149" s="364" t="e">
        <f t="shared" si="167"/>
        <v>#N/A</v>
      </c>
      <c r="AA149" s="368"/>
      <c r="AB149" s="364" t="e">
        <f t="shared" si="168"/>
        <v>#N/A</v>
      </c>
      <c r="AC149" s="364" t="e">
        <f t="shared" si="169"/>
        <v>#N/A</v>
      </c>
      <c r="AD149" s="364">
        <v>0</v>
      </c>
      <c r="AE149" s="365">
        <v>0</v>
      </c>
      <c r="AF149" s="365">
        <v>0</v>
      </c>
      <c r="AG149" s="372">
        <v>0</v>
      </c>
      <c r="AH149" s="364" t="e">
        <f t="shared" si="170"/>
        <v>#N/A</v>
      </c>
      <c r="AI149" s="414" t="e">
        <f t="shared" si="171"/>
        <v>#N/A</v>
      </c>
      <c r="AJ149" s="184"/>
      <c r="AK149" s="225"/>
    </row>
    <row r="150" spans="2:40" ht="18.75" hidden="1" customHeight="1" x14ac:dyDescent="0.25">
      <c r="B150" s="404"/>
      <c r="C150" s="495"/>
      <c r="D150" s="370" t="s">
        <v>111</v>
      </c>
      <c r="E150" s="370"/>
      <c r="F150" s="370"/>
      <c r="G150" s="388"/>
      <c r="H150" s="371">
        <f t="shared" ref="H150:AH150" si="172">SUM(H142:H149)</f>
        <v>0</v>
      </c>
      <c r="I150" s="371">
        <f t="shared" si="172"/>
        <v>0</v>
      </c>
      <c r="J150" s="364">
        <f t="shared" si="172"/>
        <v>0</v>
      </c>
      <c r="K150" s="371">
        <f t="shared" si="172"/>
        <v>0</v>
      </c>
      <c r="L150" s="364">
        <f t="shared" si="172"/>
        <v>0</v>
      </c>
      <c r="M150" s="371">
        <f t="shared" si="172"/>
        <v>0</v>
      </c>
      <c r="N150" s="364">
        <f t="shared" si="172"/>
        <v>0</v>
      </c>
      <c r="O150" s="371">
        <f t="shared" si="172"/>
        <v>0</v>
      </c>
      <c r="P150" s="371">
        <f t="shared" si="172"/>
        <v>0</v>
      </c>
      <c r="Q150" s="364">
        <f t="shared" si="172"/>
        <v>0</v>
      </c>
      <c r="R150" s="371">
        <f t="shared" si="172"/>
        <v>0</v>
      </c>
      <c r="S150" s="371" t="e">
        <f t="shared" si="172"/>
        <v>#N/A</v>
      </c>
      <c r="T150" s="371" t="e">
        <f t="shared" si="172"/>
        <v>#N/A</v>
      </c>
      <c r="U150" s="371" t="e">
        <f t="shared" si="172"/>
        <v>#N/A</v>
      </c>
      <c r="V150" s="371" t="e">
        <f t="shared" si="172"/>
        <v>#N/A</v>
      </c>
      <c r="W150" s="371" t="e">
        <f t="shared" si="172"/>
        <v>#N/A</v>
      </c>
      <c r="X150" s="371" t="e">
        <f t="shared" si="172"/>
        <v>#N/A</v>
      </c>
      <c r="Y150" s="371" t="e">
        <f t="shared" si="172"/>
        <v>#N/A</v>
      </c>
      <c r="Z150" s="371" t="e">
        <f t="shared" si="172"/>
        <v>#N/A</v>
      </c>
      <c r="AA150" s="371">
        <f t="shared" si="172"/>
        <v>0</v>
      </c>
      <c r="AB150" s="371" t="e">
        <f t="shared" si="172"/>
        <v>#N/A</v>
      </c>
      <c r="AC150" s="371" t="e">
        <f t="shared" si="172"/>
        <v>#N/A</v>
      </c>
      <c r="AD150" s="371">
        <f t="shared" si="172"/>
        <v>0</v>
      </c>
      <c r="AE150" s="371">
        <f t="shared" si="172"/>
        <v>0</v>
      </c>
      <c r="AF150" s="371">
        <f t="shared" si="172"/>
        <v>0</v>
      </c>
      <c r="AG150" s="371">
        <f t="shared" si="172"/>
        <v>0</v>
      </c>
      <c r="AH150" s="371" t="e">
        <f t="shared" si="172"/>
        <v>#N/A</v>
      </c>
      <c r="AI150" s="415" t="e">
        <f>SUM(AI142:AI149)</f>
        <v>#N/A</v>
      </c>
      <c r="AJ150" s="164"/>
      <c r="AK150" s="225"/>
    </row>
    <row r="151" spans="2:40" ht="22.5" customHeight="1" x14ac:dyDescent="0.25">
      <c r="B151" s="573" t="s">
        <v>163</v>
      </c>
      <c r="C151" s="573"/>
      <c r="D151" s="573"/>
      <c r="E151" s="573"/>
      <c r="F151" s="573"/>
      <c r="G151" s="573"/>
      <c r="H151" s="573"/>
      <c r="I151" s="573"/>
      <c r="J151" s="573"/>
      <c r="K151" s="573"/>
      <c r="L151" s="573"/>
      <c r="M151" s="573"/>
      <c r="N151" s="573"/>
      <c r="O151" s="573"/>
      <c r="P151" s="573"/>
      <c r="Q151" s="573"/>
      <c r="R151" s="573"/>
      <c r="S151" s="573"/>
      <c r="T151" s="573"/>
      <c r="U151" s="573"/>
      <c r="V151" s="573"/>
      <c r="W151" s="573"/>
      <c r="X151" s="573"/>
      <c r="Y151" s="573"/>
      <c r="Z151" s="573"/>
      <c r="AA151" s="573"/>
      <c r="AB151" s="573"/>
      <c r="AC151" s="573"/>
      <c r="AD151" s="573"/>
      <c r="AE151" s="573"/>
      <c r="AF151" s="573"/>
      <c r="AG151" s="573"/>
      <c r="AH151" s="573"/>
      <c r="AI151" s="573"/>
      <c r="AJ151" s="573"/>
      <c r="AK151" s="225"/>
    </row>
    <row r="152" spans="2:40" ht="22.5" customHeight="1" x14ac:dyDescent="0.25">
      <c r="B152" s="404">
        <v>102</v>
      </c>
      <c r="C152" s="495" t="s">
        <v>338</v>
      </c>
      <c r="D152" s="362" t="s">
        <v>141</v>
      </c>
      <c r="E152" s="369"/>
      <c r="F152" s="362">
        <v>15</v>
      </c>
      <c r="G152" s="363">
        <v>260</v>
      </c>
      <c r="H152" s="364">
        <f t="shared" ref="H152" si="173">ROUND(F152*G152,2)</f>
        <v>3900</v>
      </c>
      <c r="I152" s="365">
        <v>0</v>
      </c>
      <c r="J152" s="365">
        <v>0</v>
      </c>
      <c r="K152" s="365">
        <v>0</v>
      </c>
      <c r="L152" s="365">
        <v>0</v>
      </c>
      <c r="M152" s="365">
        <v>0</v>
      </c>
      <c r="N152" s="365">
        <v>0</v>
      </c>
      <c r="O152" s="364">
        <f>SUM(H152:N152)</f>
        <v>3900</v>
      </c>
      <c r="P152" s="366"/>
      <c r="Q152" s="364">
        <f>IF(G152=47.16,0,IF(G152&gt;47.16,L152*0.5,0))</f>
        <v>0</v>
      </c>
      <c r="R152" s="364">
        <f>H152+I152+J152+M152+Q152+K152</f>
        <v>3900</v>
      </c>
      <c r="S152" s="364">
        <f>VLOOKUP(R152,TARIFA1,1)</f>
        <v>2699.41</v>
      </c>
      <c r="T152" s="364">
        <f>R152-S152</f>
        <v>1200.5900000000001</v>
      </c>
      <c r="U152" s="367">
        <f>VLOOKUP(R152,TARIFA1,3)</f>
        <v>0.10879999999999999</v>
      </c>
      <c r="V152" s="364">
        <f>T152*U152</f>
        <v>130.62419200000002</v>
      </c>
      <c r="W152" s="364">
        <f>VLOOKUP(R152,TARIFA1,2)</f>
        <v>158.55000000000001</v>
      </c>
      <c r="X152" s="364">
        <f>V152+W152</f>
        <v>289.17419200000006</v>
      </c>
      <c r="Y152" s="364">
        <f>VLOOKUP(R152,Credito1,2)</f>
        <v>0</v>
      </c>
      <c r="Z152" s="364">
        <f>ROUND(X152-Y152,2)</f>
        <v>289.17</v>
      </c>
      <c r="AA152" s="368"/>
      <c r="AB152" s="364">
        <f>-IF(Z152&gt;0,0,Z152)</f>
        <v>0</v>
      </c>
      <c r="AC152" s="364">
        <f>IF(Z152&lt;0,0,Z152)</f>
        <v>289.17</v>
      </c>
      <c r="AD152" s="364">
        <v>0</v>
      </c>
      <c r="AE152" s="365">
        <v>0</v>
      </c>
      <c r="AF152" s="365">
        <v>0</v>
      </c>
      <c r="AG152" s="372">
        <v>0</v>
      </c>
      <c r="AH152" s="364">
        <f>SUM(AC152:AG152)</f>
        <v>289.17</v>
      </c>
      <c r="AI152" s="414">
        <f>O152+AB152-AH152</f>
        <v>3610.83</v>
      </c>
      <c r="AJ152" s="184"/>
      <c r="AK152" s="225"/>
    </row>
    <row r="153" spans="2:40" ht="22.5" customHeight="1" x14ac:dyDescent="0.25">
      <c r="B153" s="404"/>
      <c r="C153" s="495"/>
      <c r="D153" s="370" t="s">
        <v>111</v>
      </c>
      <c r="E153" s="370"/>
      <c r="F153" s="570"/>
      <c r="G153" s="572"/>
      <c r="H153" s="371">
        <f>SUM(H152:H152)</f>
        <v>3900</v>
      </c>
      <c r="I153" s="371">
        <f t="shared" ref="I153:AG153" si="174">SUM(I152:I152)</f>
        <v>0</v>
      </c>
      <c r="J153" s="364">
        <f t="shared" si="174"/>
        <v>0</v>
      </c>
      <c r="K153" s="371">
        <f t="shared" si="174"/>
        <v>0</v>
      </c>
      <c r="L153" s="364">
        <f t="shared" si="174"/>
        <v>0</v>
      </c>
      <c r="M153" s="371">
        <f t="shared" si="174"/>
        <v>0</v>
      </c>
      <c r="N153" s="364">
        <f t="shared" si="174"/>
        <v>0</v>
      </c>
      <c r="O153" s="371">
        <f t="shared" si="174"/>
        <v>3900</v>
      </c>
      <c r="P153" s="371">
        <f t="shared" si="174"/>
        <v>0</v>
      </c>
      <c r="Q153" s="364">
        <f t="shared" si="174"/>
        <v>0</v>
      </c>
      <c r="R153" s="371">
        <f t="shared" si="174"/>
        <v>3900</v>
      </c>
      <c r="S153" s="371">
        <f t="shared" si="174"/>
        <v>2699.41</v>
      </c>
      <c r="T153" s="371">
        <f t="shared" si="174"/>
        <v>1200.5900000000001</v>
      </c>
      <c r="U153" s="371">
        <f t="shared" si="174"/>
        <v>0.10879999999999999</v>
      </c>
      <c r="V153" s="371">
        <f t="shared" si="174"/>
        <v>130.62419200000002</v>
      </c>
      <c r="W153" s="371">
        <f t="shared" si="174"/>
        <v>158.55000000000001</v>
      </c>
      <c r="X153" s="371">
        <f t="shared" si="174"/>
        <v>289.17419200000006</v>
      </c>
      <c r="Y153" s="371">
        <f t="shared" si="174"/>
        <v>0</v>
      </c>
      <c r="Z153" s="371">
        <f t="shared" si="174"/>
        <v>289.17</v>
      </c>
      <c r="AA153" s="371"/>
      <c r="AB153" s="371">
        <f t="shared" si="174"/>
        <v>0</v>
      </c>
      <c r="AC153" s="371">
        <f t="shared" si="174"/>
        <v>289.17</v>
      </c>
      <c r="AD153" s="371">
        <f t="shared" si="174"/>
        <v>0</v>
      </c>
      <c r="AE153" s="371">
        <f t="shared" si="174"/>
        <v>0</v>
      </c>
      <c r="AF153" s="371">
        <f t="shared" si="174"/>
        <v>0</v>
      </c>
      <c r="AG153" s="371">
        <f t="shared" si="174"/>
        <v>0</v>
      </c>
      <c r="AH153" s="371">
        <f>SUM(AH152:AH152)</f>
        <v>289.17</v>
      </c>
      <c r="AI153" s="415">
        <f>SUM(AI152:AI152)</f>
        <v>3610.83</v>
      </c>
      <c r="AJ153" s="164"/>
      <c r="AK153" s="225"/>
      <c r="AL153" s="108">
        <f>O153+AB153-AH153</f>
        <v>3610.83</v>
      </c>
    </row>
    <row r="154" spans="2:40" ht="22.5" customHeight="1" x14ac:dyDescent="0.25">
      <c r="B154" s="573" t="s">
        <v>182</v>
      </c>
      <c r="C154" s="573"/>
      <c r="D154" s="573"/>
      <c r="E154" s="573"/>
      <c r="F154" s="573"/>
      <c r="G154" s="573"/>
      <c r="H154" s="573"/>
      <c r="I154" s="573"/>
      <c r="J154" s="573"/>
      <c r="K154" s="573"/>
      <c r="L154" s="573"/>
      <c r="M154" s="573"/>
      <c r="N154" s="573"/>
      <c r="O154" s="573"/>
      <c r="P154" s="573"/>
      <c r="Q154" s="573"/>
      <c r="R154" s="573"/>
      <c r="S154" s="573"/>
      <c r="T154" s="573"/>
      <c r="U154" s="573"/>
      <c r="V154" s="573"/>
      <c r="W154" s="573"/>
      <c r="X154" s="573"/>
      <c r="Y154" s="573"/>
      <c r="Z154" s="573"/>
      <c r="AA154" s="573"/>
      <c r="AB154" s="573"/>
      <c r="AC154" s="573"/>
      <c r="AD154" s="573"/>
      <c r="AE154" s="573"/>
      <c r="AF154" s="573"/>
      <c r="AG154" s="573"/>
      <c r="AH154" s="573"/>
      <c r="AI154" s="573"/>
      <c r="AJ154" s="573"/>
      <c r="AK154" s="225"/>
    </row>
    <row r="155" spans="2:40" ht="22.5" customHeight="1" x14ac:dyDescent="0.25">
      <c r="B155" s="404">
        <v>103</v>
      </c>
      <c r="C155" s="495" t="s">
        <v>378</v>
      </c>
      <c r="D155" s="362" t="s">
        <v>183</v>
      </c>
      <c r="E155" s="369"/>
      <c r="F155" s="362">
        <v>15</v>
      </c>
      <c r="G155" s="363">
        <v>260</v>
      </c>
      <c r="H155" s="364">
        <f t="shared" ref="H155" si="175">ROUND(F155*G155,2)</f>
        <v>3900</v>
      </c>
      <c r="I155" s="365">
        <v>0</v>
      </c>
      <c r="J155" s="365">
        <v>0</v>
      </c>
      <c r="K155" s="365">
        <v>0</v>
      </c>
      <c r="L155" s="365">
        <v>0</v>
      </c>
      <c r="M155" s="365">
        <v>0</v>
      </c>
      <c r="N155" s="365">
        <v>0</v>
      </c>
      <c r="O155" s="364">
        <f>SUM(H155:N155)</f>
        <v>3900</v>
      </c>
      <c r="P155" s="366"/>
      <c r="Q155" s="364">
        <f>IF(G155=47.16,0,IF(G155&gt;47.16,L155*0.5,0))</f>
        <v>0</v>
      </c>
      <c r="R155" s="364">
        <f>H155+I155+J155+M155+Q155+K155</f>
        <v>3900</v>
      </c>
      <c r="S155" s="364">
        <f>VLOOKUP(R155,TARIFA1,1)</f>
        <v>2699.41</v>
      </c>
      <c r="T155" s="364">
        <f>R155-S155</f>
        <v>1200.5900000000001</v>
      </c>
      <c r="U155" s="367">
        <f>VLOOKUP(R155,TARIFA1,3)</f>
        <v>0.10879999999999999</v>
      </c>
      <c r="V155" s="364">
        <f>T155*U155</f>
        <v>130.62419200000002</v>
      </c>
      <c r="W155" s="364">
        <f>VLOOKUP(R155,TARIFA1,2)</f>
        <v>158.55000000000001</v>
      </c>
      <c r="X155" s="364">
        <f>V155+W155</f>
        <v>289.17419200000006</v>
      </c>
      <c r="Y155" s="364">
        <f>VLOOKUP(R155,Credito1,2)</f>
        <v>0</v>
      </c>
      <c r="Z155" s="364">
        <f>ROUND(X155-Y155,2)</f>
        <v>289.17</v>
      </c>
      <c r="AA155" s="368"/>
      <c r="AB155" s="364">
        <f>-IF(Z155&gt;0,0,Z155)</f>
        <v>0</v>
      </c>
      <c r="AC155" s="364">
        <f>IF(Z155&lt;0,0,Z155)</f>
        <v>289.17</v>
      </c>
      <c r="AD155" s="364">
        <v>0</v>
      </c>
      <c r="AE155" s="365">
        <v>0</v>
      </c>
      <c r="AF155" s="365">
        <v>0</v>
      </c>
      <c r="AG155" s="372">
        <v>0</v>
      </c>
      <c r="AH155" s="364">
        <f>SUM(AC155:AG155)</f>
        <v>289.17</v>
      </c>
      <c r="AI155" s="414">
        <f>O155+AB155-AH155</f>
        <v>3610.83</v>
      </c>
      <c r="AJ155" s="184"/>
      <c r="AK155" s="225"/>
    </row>
    <row r="156" spans="2:40" ht="22.5" customHeight="1" x14ac:dyDescent="0.25">
      <c r="B156" s="404"/>
      <c r="C156" s="495"/>
      <c r="D156" s="370" t="s">
        <v>111</v>
      </c>
      <c r="E156" s="370"/>
      <c r="F156" s="570"/>
      <c r="G156" s="572"/>
      <c r="H156" s="371">
        <f t="shared" ref="H156:AI156" si="176">SUM(H155:H155)</f>
        <v>3900</v>
      </c>
      <c r="I156" s="371">
        <f t="shared" si="176"/>
        <v>0</v>
      </c>
      <c r="J156" s="364">
        <f t="shared" si="176"/>
        <v>0</v>
      </c>
      <c r="K156" s="371">
        <f t="shared" si="176"/>
        <v>0</v>
      </c>
      <c r="L156" s="364">
        <f t="shared" si="176"/>
        <v>0</v>
      </c>
      <c r="M156" s="371">
        <f t="shared" si="176"/>
        <v>0</v>
      </c>
      <c r="N156" s="364">
        <f t="shared" si="176"/>
        <v>0</v>
      </c>
      <c r="O156" s="371">
        <f t="shared" si="176"/>
        <v>3900</v>
      </c>
      <c r="P156" s="371">
        <f t="shared" si="176"/>
        <v>0</v>
      </c>
      <c r="Q156" s="364">
        <f t="shared" si="176"/>
        <v>0</v>
      </c>
      <c r="R156" s="364">
        <f t="shared" ref="R156:R158" si="177">H156+I156+J156+M156+Q156+K156</f>
        <v>3900</v>
      </c>
      <c r="S156" s="371">
        <f t="shared" si="176"/>
        <v>2699.41</v>
      </c>
      <c r="T156" s="371">
        <f t="shared" si="176"/>
        <v>1200.5900000000001</v>
      </c>
      <c r="U156" s="371">
        <f>SUM(U155)</f>
        <v>0.10879999999999999</v>
      </c>
      <c r="V156" s="371">
        <f t="shared" si="176"/>
        <v>130.62419200000002</v>
      </c>
      <c r="W156" s="371">
        <f t="shared" si="176"/>
        <v>158.55000000000001</v>
      </c>
      <c r="X156" s="371">
        <f t="shared" si="176"/>
        <v>289.17419200000006</v>
      </c>
      <c r="Y156" s="371">
        <f t="shared" si="176"/>
        <v>0</v>
      </c>
      <c r="Z156" s="371">
        <f t="shared" si="176"/>
        <v>289.17</v>
      </c>
      <c r="AA156" s="371"/>
      <c r="AB156" s="371">
        <f t="shared" si="176"/>
        <v>0</v>
      </c>
      <c r="AC156" s="371">
        <f t="shared" si="176"/>
        <v>289.17</v>
      </c>
      <c r="AD156" s="371">
        <f t="shared" si="176"/>
        <v>0</v>
      </c>
      <c r="AE156" s="371">
        <f t="shared" si="176"/>
        <v>0</v>
      </c>
      <c r="AF156" s="371">
        <f t="shared" si="176"/>
        <v>0</v>
      </c>
      <c r="AG156" s="371">
        <f t="shared" si="176"/>
        <v>0</v>
      </c>
      <c r="AH156" s="371">
        <f t="shared" si="176"/>
        <v>289.17</v>
      </c>
      <c r="AI156" s="415">
        <f t="shared" si="176"/>
        <v>3610.83</v>
      </c>
      <c r="AJ156" s="164"/>
      <c r="AK156" s="225"/>
      <c r="AL156" s="108">
        <f>O155+AB156-AH156</f>
        <v>3610.83</v>
      </c>
    </row>
    <row r="157" spans="2:40" ht="21.75" customHeight="1" x14ac:dyDescent="0.25">
      <c r="B157" s="580" t="s">
        <v>222</v>
      </c>
      <c r="C157" s="580"/>
      <c r="D157" s="580"/>
      <c r="E157" s="580"/>
      <c r="F157" s="580"/>
      <c r="G157" s="580"/>
      <c r="H157" s="580"/>
      <c r="I157" s="580"/>
      <c r="J157" s="580"/>
      <c r="K157" s="580"/>
      <c r="L157" s="580"/>
      <c r="M157" s="580"/>
      <c r="N157" s="580"/>
      <c r="O157" s="580"/>
      <c r="P157" s="580"/>
      <c r="Q157" s="580"/>
      <c r="R157" s="580"/>
      <c r="S157" s="580"/>
      <c r="T157" s="580"/>
      <c r="U157" s="580"/>
      <c r="V157" s="580"/>
      <c r="W157" s="580"/>
      <c r="X157" s="580"/>
      <c r="Y157" s="580"/>
      <c r="Z157" s="580"/>
      <c r="AA157" s="580"/>
      <c r="AB157" s="580"/>
      <c r="AC157" s="580"/>
      <c r="AD157" s="580"/>
      <c r="AE157" s="580"/>
      <c r="AF157" s="580"/>
      <c r="AG157" s="580"/>
      <c r="AH157" s="580"/>
      <c r="AI157" s="580"/>
      <c r="AJ157" s="580"/>
      <c r="AK157" s="225"/>
      <c r="AN157" s="103"/>
    </row>
    <row r="158" spans="2:40" s="103" customFormat="1" ht="21.75" customHeight="1" x14ac:dyDescent="0.25">
      <c r="B158" s="404">
        <v>104</v>
      </c>
      <c r="C158" s="495" t="s">
        <v>471</v>
      </c>
      <c r="D158" s="362" t="s">
        <v>120</v>
      </c>
      <c r="E158" s="369"/>
      <c r="F158" s="362">
        <v>15</v>
      </c>
      <c r="G158" s="363">
        <v>266.66660000000002</v>
      </c>
      <c r="H158" s="364">
        <f t="shared" ref="H158" si="178">ROUND(F158*G158,2)</f>
        <v>4000</v>
      </c>
      <c r="I158" s="364">
        <v>0</v>
      </c>
      <c r="J158" s="364">
        <v>0</v>
      </c>
      <c r="K158" s="364">
        <v>0</v>
      </c>
      <c r="L158" s="364">
        <v>0</v>
      </c>
      <c r="M158" s="364">
        <v>0</v>
      </c>
      <c r="N158" s="364">
        <v>0</v>
      </c>
      <c r="O158" s="364">
        <f>SUM(H158:N158)</f>
        <v>4000</v>
      </c>
      <c r="P158" s="364"/>
      <c r="Q158" s="364">
        <v>0</v>
      </c>
      <c r="R158" s="364">
        <f t="shared" si="177"/>
        <v>4000</v>
      </c>
      <c r="S158" s="364">
        <f>VLOOKUP(R158,TARIFA1,1)</f>
        <v>2699.41</v>
      </c>
      <c r="T158" s="364">
        <f>R158-S158</f>
        <v>1300.5900000000001</v>
      </c>
      <c r="U158" s="364">
        <f>VLOOKUP(R158,TARIFA1,3)</f>
        <v>0.10879999999999999</v>
      </c>
      <c r="V158" s="364">
        <f>T158*U158</f>
        <v>141.50419200000002</v>
      </c>
      <c r="W158" s="364">
        <f>VLOOKUP(R158,TARIFA1,2)</f>
        <v>158.55000000000001</v>
      </c>
      <c r="X158" s="364">
        <f>V158+W158</f>
        <v>300.05419200000006</v>
      </c>
      <c r="Y158" s="364">
        <f>VLOOKUP(R158,Credito1,2)</f>
        <v>0</v>
      </c>
      <c r="Z158" s="364">
        <f>ROUND(X158-Y158,2)</f>
        <v>300.05</v>
      </c>
      <c r="AA158" s="364"/>
      <c r="AB158" s="364">
        <f>-IF(Z158&gt;0,0,Z158)</f>
        <v>0</v>
      </c>
      <c r="AC158" s="364">
        <f>IF(Z158&lt;0,0,Z158)</f>
        <v>300.05</v>
      </c>
      <c r="AD158" s="364">
        <v>0</v>
      </c>
      <c r="AE158" s="364">
        <v>0</v>
      </c>
      <c r="AF158" s="364">
        <v>0</v>
      </c>
      <c r="AG158" s="364">
        <v>0</v>
      </c>
      <c r="AH158" s="364">
        <f>SUM(AC158:AG158)</f>
        <v>300.05</v>
      </c>
      <c r="AI158" s="414">
        <f>O158+AB158-AH158</f>
        <v>3699.95</v>
      </c>
      <c r="AJ158" s="164"/>
      <c r="AK158" s="225"/>
    </row>
    <row r="159" spans="2:40" ht="21.75" customHeight="1" x14ac:dyDescent="0.25">
      <c r="B159" s="404"/>
      <c r="C159" s="495"/>
      <c r="D159" s="370" t="s">
        <v>111</v>
      </c>
      <c r="E159" s="370"/>
      <c r="F159" s="570"/>
      <c r="G159" s="572"/>
      <c r="H159" s="371">
        <f>SUM(H158:H158)</f>
        <v>4000</v>
      </c>
      <c r="I159" s="371">
        <f t="shared" ref="I159:AF159" si="179">SUM(I157:I157)</f>
        <v>0</v>
      </c>
      <c r="J159" s="364">
        <f t="shared" si="179"/>
        <v>0</v>
      </c>
      <c r="K159" s="371">
        <f t="shared" si="179"/>
        <v>0</v>
      </c>
      <c r="L159" s="364">
        <f t="shared" si="179"/>
        <v>0</v>
      </c>
      <c r="M159" s="371">
        <f t="shared" si="179"/>
        <v>0</v>
      </c>
      <c r="N159" s="364">
        <f t="shared" si="179"/>
        <v>0</v>
      </c>
      <c r="O159" s="371">
        <f>SUM(O158:O158)</f>
        <v>4000</v>
      </c>
      <c r="P159" s="371">
        <f t="shared" si="179"/>
        <v>0</v>
      </c>
      <c r="Q159" s="364">
        <f t="shared" si="179"/>
        <v>0</v>
      </c>
      <c r="R159" s="371">
        <f t="shared" si="179"/>
        <v>0</v>
      </c>
      <c r="S159" s="371">
        <f t="shared" si="179"/>
        <v>0</v>
      </c>
      <c r="T159" s="371">
        <f t="shared" si="179"/>
        <v>0</v>
      </c>
      <c r="U159" s="371">
        <f t="shared" si="179"/>
        <v>0</v>
      </c>
      <c r="V159" s="371">
        <f t="shared" si="179"/>
        <v>0</v>
      </c>
      <c r="W159" s="371">
        <f t="shared" si="179"/>
        <v>0</v>
      </c>
      <c r="X159" s="371">
        <f t="shared" si="179"/>
        <v>0</v>
      </c>
      <c r="Y159" s="371">
        <f t="shared" si="179"/>
        <v>0</v>
      </c>
      <c r="Z159" s="371">
        <f t="shared" si="179"/>
        <v>0</v>
      </c>
      <c r="AA159" s="371"/>
      <c r="AB159" s="371">
        <f>SUM(AB158:AB158)</f>
        <v>0</v>
      </c>
      <c r="AC159" s="371">
        <f>SUM(AC158:AC158)</f>
        <v>300.05</v>
      </c>
      <c r="AD159" s="371">
        <f t="shared" si="179"/>
        <v>0</v>
      </c>
      <c r="AE159" s="371">
        <f t="shared" si="179"/>
        <v>0</v>
      </c>
      <c r="AF159" s="371">
        <f t="shared" si="179"/>
        <v>0</v>
      </c>
      <c r="AG159" s="371">
        <f>SUM(AG158:AG158)</f>
        <v>0</v>
      </c>
      <c r="AH159" s="371">
        <f>SUM(AH158:AH158)</f>
        <v>300.05</v>
      </c>
      <c r="AI159" s="415">
        <f>SUM(AI158)</f>
        <v>3699.95</v>
      </c>
      <c r="AJ159" s="164"/>
      <c r="AK159" s="225"/>
      <c r="AL159" s="108">
        <f>O159+AB159-AH159</f>
        <v>3699.95</v>
      </c>
      <c r="AN159" s="103"/>
    </row>
    <row r="160" spans="2:40" ht="21.75" customHeight="1" x14ac:dyDescent="0.25">
      <c r="B160" s="577" t="s">
        <v>137</v>
      </c>
      <c r="C160" s="578"/>
      <c r="D160" s="578"/>
      <c r="E160" s="578"/>
      <c r="F160" s="578"/>
      <c r="G160" s="578"/>
      <c r="H160" s="578"/>
      <c r="I160" s="578"/>
      <c r="J160" s="578"/>
      <c r="K160" s="578"/>
      <c r="L160" s="578"/>
      <c r="M160" s="578"/>
      <c r="N160" s="578"/>
      <c r="O160" s="578"/>
      <c r="P160" s="578"/>
      <c r="Q160" s="578"/>
      <c r="R160" s="578"/>
      <c r="S160" s="578"/>
      <c r="T160" s="578"/>
      <c r="U160" s="578"/>
      <c r="V160" s="578"/>
      <c r="W160" s="578"/>
      <c r="X160" s="578"/>
      <c r="Y160" s="578"/>
      <c r="Z160" s="578"/>
      <c r="AA160" s="578"/>
      <c r="AB160" s="578"/>
      <c r="AC160" s="578"/>
      <c r="AD160" s="578"/>
      <c r="AE160" s="578"/>
      <c r="AF160" s="578"/>
      <c r="AG160" s="578"/>
      <c r="AH160" s="578"/>
      <c r="AI160" s="578"/>
      <c r="AJ160" s="579"/>
      <c r="AK160" s="225"/>
      <c r="AL160" s="108"/>
      <c r="AN160" s="103"/>
    </row>
    <row r="161" spans="2:40" s="169" customFormat="1" ht="30" customHeight="1" x14ac:dyDescent="0.3">
      <c r="B161" s="309">
        <v>105</v>
      </c>
      <c r="C161" s="495" t="s">
        <v>365</v>
      </c>
      <c r="D161" s="318" t="s">
        <v>322</v>
      </c>
      <c r="E161" s="318"/>
      <c r="F161" s="318">
        <v>15</v>
      </c>
      <c r="G161" s="318">
        <v>366.86660000000001</v>
      </c>
      <c r="H161" s="364">
        <f t="shared" ref="H161:H162" si="180">ROUND(F161*G161,2)</f>
        <v>5503</v>
      </c>
      <c r="I161" s="320">
        <v>0</v>
      </c>
      <c r="J161" s="320">
        <v>0</v>
      </c>
      <c r="K161" s="320">
        <v>0</v>
      </c>
      <c r="L161" s="320">
        <v>0</v>
      </c>
      <c r="M161" s="320">
        <v>0</v>
      </c>
      <c r="N161" s="320">
        <v>0</v>
      </c>
      <c r="O161" s="320">
        <f>SUM(H161:N161)</f>
        <v>5503</v>
      </c>
      <c r="P161" s="320"/>
      <c r="Q161" s="320">
        <v>0</v>
      </c>
      <c r="R161" s="320">
        <f>H161+I161+J161+M161+Q161+K161</f>
        <v>5503</v>
      </c>
      <c r="S161" s="320">
        <f>VLOOKUP(R161,TARIFA1,1)</f>
        <v>4744.0600000000004</v>
      </c>
      <c r="T161" s="320">
        <f>R161-S161</f>
        <v>758.9399999999996</v>
      </c>
      <c r="U161" s="320">
        <f>VLOOKUP(R161,TARIFA1,3)</f>
        <v>0.16</v>
      </c>
      <c r="V161" s="320">
        <f>T161*U161</f>
        <v>121.43039999999993</v>
      </c>
      <c r="W161" s="320">
        <f>VLOOKUP(R161,TARIFA1,2)</f>
        <v>381</v>
      </c>
      <c r="X161" s="320">
        <f>V161+W161</f>
        <v>502.43039999999996</v>
      </c>
      <c r="Y161" s="320">
        <f>VLOOKUP(R161,Credito1,2)</f>
        <v>0</v>
      </c>
      <c r="Z161" s="320">
        <f>ROUND(X161-Y161,2)</f>
        <v>502.43</v>
      </c>
      <c r="AA161" s="320"/>
      <c r="AB161" s="320">
        <f>-IF(Z161&gt;0,0,Z161)</f>
        <v>0</v>
      </c>
      <c r="AC161" s="320">
        <f>IF(Z161&lt;0,0,Z161)</f>
        <v>502.43</v>
      </c>
      <c r="AD161" s="320">
        <v>0</v>
      </c>
      <c r="AE161" s="320">
        <v>0</v>
      </c>
      <c r="AF161" s="320">
        <v>0</v>
      </c>
      <c r="AG161" s="320">
        <v>0</v>
      </c>
      <c r="AH161" s="320">
        <f>SUM(AC161:AG161)</f>
        <v>502.43</v>
      </c>
      <c r="AI161" s="311">
        <f>O161+AB161-AH161</f>
        <v>5000.57</v>
      </c>
      <c r="AJ161" s="239"/>
      <c r="AK161" s="240"/>
      <c r="AL161" s="170"/>
    </row>
    <row r="162" spans="2:40" s="301" customFormat="1" ht="30" customHeight="1" x14ac:dyDescent="0.3">
      <c r="B162" s="408">
        <v>106</v>
      </c>
      <c r="C162" s="500" t="s">
        <v>525</v>
      </c>
      <c r="D162" s="389" t="s">
        <v>322</v>
      </c>
      <c r="E162" s="318"/>
      <c r="F162" s="318">
        <v>15</v>
      </c>
      <c r="G162" s="318">
        <v>366.86660000000001</v>
      </c>
      <c r="H162" s="364">
        <f t="shared" si="180"/>
        <v>5503</v>
      </c>
      <c r="I162" s="320">
        <v>0</v>
      </c>
      <c r="J162" s="320">
        <v>0</v>
      </c>
      <c r="K162" s="320">
        <v>0</v>
      </c>
      <c r="L162" s="320">
        <v>0</v>
      </c>
      <c r="M162" s="320">
        <v>0</v>
      </c>
      <c r="N162" s="320">
        <v>0</v>
      </c>
      <c r="O162" s="320">
        <f>SUM(H162:N162)</f>
        <v>5503</v>
      </c>
      <c r="P162" s="390"/>
      <c r="Q162" s="320">
        <v>0</v>
      </c>
      <c r="R162" s="320">
        <f>H162+I162+J162+M162+Q162+K162</f>
        <v>5503</v>
      </c>
      <c r="S162" s="320">
        <f>VLOOKUP(R162,TARIFA1,1)</f>
        <v>4744.0600000000004</v>
      </c>
      <c r="T162" s="320">
        <f>R162-S162</f>
        <v>758.9399999999996</v>
      </c>
      <c r="U162" s="320">
        <f>VLOOKUP(R162,TARIFA1,3)</f>
        <v>0.16</v>
      </c>
      <c r="V162" s="320">
        <f>T162*U162</f>
        <v>121.43039999999993</v>
      </c>
      <c r="W162" s="320">
        <f>VLOOKUP(R162,TARIFA1,2)</f>
        <v>381</v>
      </c>
      <c r="X162" s="320">
        <f>V162+W162</f>
        <v>502.43039999999996</v>
      </c>
      <c r="Y162" s="320">
        <f>VLOOKUP(R162,Credito1,2)</f>
        <v>0</v>
      </c>
      <c r="Z162" s="320">
        <f>ROUND(X162-Y162,2)</f>
        <v>502.43</v>
      </c>
      <c r="AA162" s="390"/>
      <c r="AB162" s="320">
        <f>-IF(Z162&gt;0,0,Z162)</f>
        <v>0</v>
      </c>
      <c r="AC162" s="320">
        <f>IF(Z162&lt;0,0,Z162)</f>
        <v>502.43</v>
      </c>
      <c r="AD162" s="320">
        <v>0</v>
      </c>
      <c r="AE162" s="320">
        <v>0</v>
      </c>
      <c r="AF162" s="320">
        <v>0</v>
      </c>
      <c r="AG162" s="320">
        <v>0</v>
      </c>
      <c r="AH162" s="320">
        <f>SUM(AC162:AG162)</f>
        <v>502.43</v>
      </c>
      <c r="AI162" s="311">
        <f>O162+AB162-AH162</f>
        <v>5000.57</v>
      </c>
      <c r="AJ162" s="304"/>
      <c r="AK162" s="302"/>
      <c r="AL162" s="303"/>
    </row>
    <row r="163" spans="2:40" ht="21.75" customHeight="1" x14ac:dyDescent="0.25">
      <c r="B163" s="409"/>
      <c r="C163" s="501"/>
      <c r="D163" s="391" t="s">
        <v>111</v>
      </c>
      <c r="E163" s="392"/>
      <c r="F163" s="392"/>
      <c r="G163" s="392"/>
      <c r="H163" s="393">
        <f>SUM(H161:H161)</f>
        <v>5503</v>
      </c>
      <c r="I163" s="393">
        <f t="shared" ref="I163:AI163" si="181">SUM(I161:I161)</f>
        <v>0</v>
      </c>
      <c r="J163" s="393">
        <f t="shared" si="181"/>
        <v>0</v>
      </c>
      <c r="K163" s="393">
        <f t="shared" si="181"/>
        <v>0</v>
      </c>
      <c r="L163" s="393">
        <f t="shared" si="181"/>
        <v>0</v>
      </c>
      <c r="M163" s="393">
        <f t="shared" si="181"/>
        <v>0</v>
      </c>
      <c r="N163" s="393">
        <f t="shared" si="181"/>
        <v>0</v>
      </c>
      <c r="O163" s="393">
        <f t="shared" si="181"/>
        <v>5503</v>
      </c>
      <c r="P163" s="393">
        <f t="shared" si="181"/>
        <v>0</v>
      </c>
      <c r="Q163" s="393">
        <f t="shared" si="181"/>
        <v>0</v>
      </c>
      <c r="R163" s="393">
        <f t="shared" si="181"/>
        <v>5503</v>
      </c>
      <c r="S163" s="393">
        <f t="shared" si="181"/>
        <v>4744.0600000000004</v>
      </c>
      <c r="T163" s="393">
        <f t="shared" si="181"/>
        <v>758.9399999999996</v>
      </c>
      <c r="U163" s="393">
        <f t="shared" si="181"/>
        <v>0.16</v>
      </c>
      <c r="V163" s="393">
        <f t="shared" si="181"/>
        <v>121.43039999999993</v>
      </c>
      <c r="W163" s="393">
        <f t="shared" si="181"/>
        <v>381</v>
      </c>
      <c r="X163" s="393">
        <f t="shared" si="181"/>
        <v>502.43039999999996</v>
      </c>
      <c r="Y163" s="393">
        <f t="shared" si="181"/>
        <v>0</v>
      </c>
      <c r="Z163" s="393">
        <f t="shared" si="181"/>
        <v>502.43</v>
      </c>
      <c r="AA163" s="393">
        <f t="shared" si="181"/>
        <v>0</v>
      </c>
      <c r="AB163" s="393">
        <f t="shared" si="181"/>
        <v>0</v>
      </c>
      <c r="AC163" s="393">
        <f t="shared" si="181"/>
        <v>502.43</v>
      </c>
      <c r="AD163" s="393">
        <f t="shared" si="181"/>
        <v>0</v>
      </c>
      <c r="AE163" s="393">
        <f t="shared" si="181"/>
        <v>0</v>
      </c>
      <c r="AF163" s="393">
        <f t="shared" si="181"/>
        <v>0</v>
      </c>
      <c r="AG163" s="393">
        <f t="shared" si="181"/>
        <v>0</v>
      </c>
      <c r="AH163" s="393">
        <f t="shared" si="181"/>
        <v>502.43</v>
      </c>
      <c r="AI163" s="419">
        <f t="shared" si="181"/>
        <v>5000.57</v>
      </c>
      <c r="AJ163" s="241"/>
      <c r="AK163" s="225"/>
      <c r="AN163" s="103"/>
    </row>
    <row r="164" spans="2:40" ht="21.75" customHeight="1" x14ac:dyDescent="0.25">
      <c r="B164" s="410"/>
      <c r="C164" s="502"/>
      <c r="D164" s="394"/>
      <c r="E164" s="394"/>
      <c r="F164" s="394"/>
      <c r="G164" s="394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4"/>
      <c r="AH164" s="394"/>
      <c r="AI164" s="420"/>
      <c r="AJ164" s="232"/>
      <c r="AK164" s="225"/>
      <c r="AN164" s="103"/>
    </row>
    <row r="165" spans="2:40" ht="21.75" customHeight="1" x14ac:dyDescent="0.25">
      <c r="B165" s="574" t="s">
        <v>268</v>
      </c>
      <c r="C165" s="575"/>
      <c r="D165" s="575"/>
      <c r="E165" s="575"/>
      <c r="F165" s="575"/>
      <c r="G165" s="576"/>
      <c r="H165" s="371">
        <f t="shared" ref="H165:AI165" si="182">H22+H25+H30+H37+H46+H61+H68+H80+H84+H92+H109+H127+H134+H140+H153+H156+H159+H163</f>
        <v>246658.25</v>
      </c>
      <c r="I165" s="371">
        <f t="shared" si="182"/>
        <v>0</v>
      </c>
      <c r="J165" s="371">
        <f t="shared" si="182"/>
        <v>0</v>
      </c>
      <c r="K165" s="371">
        <f t="shared" si="182"/>
        <v>0</v>
      </c>
      <c r="L165" s="371">
        <f t="shared" si="182"/>
        <v>0</v>
      </c>
      <c r="M165" s="371">
        <f t="shared" si="182"/>
        <v>0</v>
      </c>
      <c r="N165" s="371">
        <f t="shared" si="182"/>
        <v>0</v>
      </c>
      <c r="O165" s="371">
        <f t="shared" si="182"/>
        <v>246658.25</v>
      </c>
      <c r="P165" s="371">
        <f t="shared" si="182"/>
        <v>0</v>
      </c>
      <c r="Q165" s="371">
        <f t="shared" si="182"/>
        <v>0</v>
      </c>
      <c r="R165" s="371">
        <f t="shared" si="182"/>
        <v>222224.3</v>
      </c>
      <c r="S165" s="371">
        <f t="shared" si="182"/>
        <v>97649.750000000015</v>
      </c>
      <c r="T165" s="371">
        <f t="shared" si="182"/>
        <v>126637.93999999999</v>
      </c>
      <c r="U165" s="371">
        <f t="shared" si="182"/>
        <v>7.4607999999999999</v>
      </c>
      <c r="V165" s="371">
        <f t="shared" si="182"/>
        <v>9499.7069919999958</v>
      </c>
      <c r="W165" s="371">
        <f t="shared" si="182"/>
        <v>5592.9</v>
      </c>
      <c r="X165" s="371">
        <f t="shared" si="182"/>
        <v>15092.606992000001</v>
      </c>
      <c r="Y165" s="371">
        <f t="shared" si="182"/>
        <v>15067.199999999999</v>
      </c>
      <c r="Z165" s="371">
        <f t="shared" si="182"/>
        <v>25.500000000000341</v>
      </c>
      <c r="AA165" s="371">
        <f t="shared" si="182"/>
        <v>0</v>
      </c>
      <c r="AB165" s="371">
        <f t="shared" si="182"/>
        <v>7341.2900000000009</v>
      </c>
      <c r="AC165" s="371">
        <f t="shared" si="182"/>
        <v>7802.4800000000032</v>
      </c>
      <c r="AD165" s="371">
        <f t="shared" si="182"/>
        <v>0</v>
      </c>
      <c r="AE165" s="371">
        <f t="shared" si="182"/>
        <v>0</v>
      </c>
      <c r="AF165" s="371">
        <f t="shared" si="182"/>
        <v>0</v>
      </c>
      <c r="AG165" s="371">
        <f t="shared" si="182"/>
        <v>0</v>
      </c>
      <c r="AH165" s="371">
        <f t="shared" si="182"/>
        <v>7802.4800000000032</v>
      </c>
      <c r="AI165" s="415">
        <f t="shared" si="182"/>
        <v>246197.05999999997</v>
      </c>
      <c r="AJ165" s="164"/>
      <c r="AK165" s="225"/>
      <c r="AL165" s="108">
        <f>O165+AB165-AH165</f>
        <v>246197.06</v>
      </c>
      <c r="AN165" s="103"/>
    </row>
    <row r="166" spans="2:40" ht="21.75" customHeight="1" x14ac:dyDescent="0.25">
      <c r="B166" s="411"/>
      <c r="C166" s="503"/>
      <c r="D166" s="395"/>
      <c r="E166" s="395"/>
      <c r="F166" s="395"/>
      <c r="G166" s="395"/>
      <c r="H166" s="396"/>
      <c r="I166" s="396"/>
      <c r="J166" s="397"/>
      <c r="K166" s="396"/>
      <c r="L166" s="397"/>
      <c r="M166" s="396"/>
      <c r="N166" s="397"/>
      <c r="O166" s="396"/>
      <c r="P166" s="396"/>
      <c r="Q166" s="397"/>
      <c r="R166" s="396"/>
      <c r="S166" s="396"/>
      <c r="T166" s="396"/>
      <c r="U166" s="396"/>
      <c r="V166" s="396"/>
      <c r="W166" s="396"/>
      <c r="X166" s="396"/>
      <c r="Y166" s="396"/>
      <c r="Z166" s="396"/>
      <c r="AA166" s="396"/>
      <c r="AB166" s="396"/>
      <c r="AC166" s="396"/>
      <c r="AD166" s="396"/>
      <c r="AE166" s="396"/>
      <c r="AF166" s="396"/>
      <c r="AG166" s="396"/>
      <c r="AH166" s="396"/>
      <c r="AI166" s="421"/>
      <c r="AJ166" s="168"/>
      <c r="AK166" s="225"/>
      <c r="AN166" s="103"/>
    </row>
    <row r="167" spans="2:40" ht="25.5" customHeight="1" thickBot="1" x14ac:dyDescent="0.3">
      <c r="B167" s="412"/>
      <c r="C167" s="504"/>
      <c r="D167" s="398"/>
      <c r="E167" s="399"/>
      <c r="F167" s="399"/>
      <c r="G167" s="399"/>
      <c r="H167" s="400"/>
      <c r="I167" s="400"/>
      <c r="J167" s="400"/>
      <c r="K167" s="400"/>
      <c r="L167" s="400"/>
      <c r="M167" s="400"/>
      <c r="N167" s="400"/>
      <c r="O167" s="400"/>
      <c r="P167" s="400"/>
      <c r="Q167" s="400"/>
      <c r="R167" s="400"/>
      <c r="S167" s="400"/>
      <c r="T167" s="400"/>
      <c r="U167" s="400"/>
      <c r="V167" s="400"/>
      <c r="W167" s="400"/>
      <c r="X167" s="400"/>
      <c r="Y167" s="400"/>
      <c r="Z167" s="400"/>
      <c r="AA167" s="400"/>
      <c r="AB167" s="401"/>
      <c r="AC167" s="401"/>
      <c r="AD167" s="401"/>
      <c r="AE167" s="401"/>
      <c r="AF167" s="401"/>
      <c r="AG167" s="401"/>
      <c r="AH167" s="401"/>
      <c r="AI167" s="422"/>
      <c r="AJ167" s="168"/>
      <c r="AK167" s="225"/>
    </row>
    <row r="168" spans="2:40" ht="25.5" customHeight="1" x14ac:dyDescent="0.25">
      <c r="B168" s="412"/>
      <c r="C168" s="532" t="s">
        <v>282</v>
      </c>
      <c r="D168" s="532"/>
      <c r="E168" s="399"/>
      <c r="F168" s="399"/>
      <c r="G168" s="399"/>
      <c r="H168" s="399"/>
      <c r="I168" s="399"/>
      <c r="J168" s="399"/>
      <c r="K168" s="399"/>
      <c r="L168" s="399"/>
      <c r="M168" s="399"/>
      <c r="N168" s="399"/>
      <c r="O168" s="399"/>
      <c r="P168" s="399"/>
      <c r="Q168" s="399"/>
      <c r="R168" s="399"/>
      <c r="S168" s="399"/>
      <c r="T168" s="399"/>
      <c r="U168" s="399"/>
      <c r="V168" s="399"/>
      <c r="W168" s="399"/>
      <c r="X168" s="399"/>
      <c r="Y168" s="399"/>
      <c r="Z168" s="399"/>
      <c r="AA168" s="399"/>
      <c r="AB168" s="568" t="s">
        <v>320</v>
      </c>
      <c r="AC168" s="568"/>
      <c r="AD168" s="568"/>
      <c r="AE168" s="568"/>
      <c r="AF168" s="568"/>
      <c r="AG168" s="568"/>
      <c r="AH168" s="568"/>
      <c r="AI168" s="568"/>
      <c r="AJ168" s="171"/>
      <c r="AK168" s="225"/>
    </row>
    <row r="169" spans="2:40" ht="20.25" customHeight="1" x14ac:dyDescent="0.25">
      <c r="B169" s="413"/>
      <c r="C169" s="521" t="s">
        <v>324</v>
      </c>
      <c r="D169" s="521"/>
      <c r="E169" s="402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581" t="s">
        <v>104</v>
      </c>
      <c r="AC169" s="581"/>
      <c r="AD169" s="581"/>
      <c r="AE169" s="581"/>
      <c r="AF169" s="581"/>
      <c r="AG169" s="581"/>
      <c r="AH169" s="581"/>
      <c r="AI169" s="581"/>
      <c r="AJ169" s="152"/>
    </row>
    <row r="170" spans="2:40" ht="20.25" customHeight="1" x14ac:dyDescent="0.3">
      <c r="AI170" s="353"/>
      <c r="AJ170" s="108"/>
    </row>
    <row r="171" spans="2:40" ht="21.75" customHeight="1" x14ac:dyDescent="0.3">
      <c r="AH171" s="338"/>
      <c r="AI171" s="354"/>
    </row>
    <row r="172" spans="2:40" ht="21.75" customHeight="1" x14ac:dyDescent="0.3">
      <c r="AH172" s="338"/>
      <c r="AI172" s="354"/>
      <c r="AJ172" s="108"/>
    </row>
    <row r="173" spans="2:40" ht="22.5" customHeight="1" x14ac:dyDescent="0.3">
      <c r="AC173" s="403"/>
      <c r="AH173" s="338"/>
      <c r="AI173" s="354"/>
    </row>
    <row r="174" spans="2:40" x14ac:dyDescent="0.3">
      <c r="AI174" s="353"/>
    </row>
    <row r="175" spans="2:40" x14ac:dyDescent="0.3">
      <c r="AC175" s="403"/>
    </row>
    <row r="176" spans="2:40" x14ac:dyDescent="0.3">
      <c r="AC176" s="403"/>
    </row>
    <row r="177" spans="29:35" x14ac:dyDescent="0.3">
      <c r="AC177" s="403"/>
      <c r="AI177" s="353"/>
    </row>
    <row r="178" spans="29:35" x14ac:dyDescent="0.3">
      <c r="AC178" s="403"/>
    </row>
    <row r="179" spans="29:35" x14ac:dyDescent="0.3">
      <c r="AC179" s="403"/>
    </row>
  </sheetData>
  <mergeCells count="60">
    <mergeCell ref="B141:AJ141"/>
    <mergeCell ref="F153:G153"/>
    <mergeCell ref="B110:AJ110"/>
    <mergeCell ref="E109:G109"/>
    <mergeCell ref="E127:G127"/>
    <mergeCell ref="E134:G134"/>
    <mergeCell ref="E140:G140"/>
    <mergeCell ref="B128:AJ128"/>
    <mergeCell ref="B135:AJ135"/>
    <mergeCell ref="B8:AJ8"/>
    <mergeCell ref="C9:C11"/>
    <mergeCell ref="D9:D11"/>
    <mergeCell ref="E9:E11"/>
    <mergeCell ref="G9:G10"/>
    <mergeCell ref="H10:H11"/>
    <mergeCell ref="AJ9:AJ11"/>
    <mergeCell ref="F9:F11"/>
    <mergeCell ref="O10:O11"/>
    <mergeCell ref="AB9:AB11"/>
    <mergeCell ref="AC10:AC11"/>
    <mergeCell ref="H9:O9"/>
    <mergeCell ref="S9:X9"/>
    <mergeCell ref="AC9:AH9"/>
    <mergeCell ref="B12:AJ12"/>
    <mergeCell ref="AG10:AG11"/>
    <mergeCell ref="AH10:AH11"/>
    <mergeCell ref="AI9:AI11"/>
    <mergeCell ref="B9:B11"/>
    <mergeCell ref="E22:G22"/>
    <mergeCell ref="E25:G25"/>
    <mergeCell ref="C168:D168"/>
    <mergeCell ref="C169:D169"/>
    <mergeCell ref="B165:G165"/>
    <mergeCell ref="B62:AJ62"/>
    <mergeCell ref="E61:G61"/>
    <mergeCell ref="B23:AJ23"/>
    <mergeCell ref="B26:AJ26"/>
    <mergeCell ref="B160:AJ160"/>
    <mergeCell ref="B93:AJ93"/>
    <mergeCell ref="B157:AJ157"/>
    <mergeCell ref="B151:AJ151"/>
    <mergeCell ref="B154:AJ154"/>
    <mergeCell ref="AB169:AI169"/>
    <mergeCell ref="F156:G156"/>
    <mergeCell ref="AB168:AI168"/>
    <mergeCell ref="B7:AJ7"/>
    <mergeCell ref="E30:G30"/>
    <mergeCell ref="E37:G37"/>
    <mergeCell ref="F159:G159"/>
    <mergeCell ref="E68:G68"/>
    <mergeCell ref="E80:G80"/>
    <mergeCell ref="E84:G84"/>
    <mergeCell ref="E92:G92"/>
    <mergeCell ref="B69:AJ69"/>
    <mergeCell ref="B81:AJ81"/>
    <mergeCell ref="B85:AJ85"/>
    <mergeCell ref="B38:AJ38"/>
    <mergeCell ref="B47:AJ47"/>
    <mergeCell ref="B31:AJ31"/>
    <mergeCell ref="E46:G46"/>
  </mergeCells>
  <pageMargins left="0.94488188976377963" right="0" top="0.55118110236220474" bottom="0.43307086614173229" header="0.51181102362204722" footer="0.23622047244094491"/>
  <pageSetup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S43"/>
  <sheetViews>
    <sheetView showGridLines="0" topLeftCell="A23" zoomScale="82" zoomScaleNormal="82" workbookViewId="0">
      <selection activeCell="E22" sqref="E22"/>
    </sheetView>
  </sheetViews>
  <sheetFormatPr baseColWidth="10" defaultColWidth="11.453125" defaultRowHeight="17" x14ac:dyDescent="0.35"/>
  <cols>
    <col min="1" max="1" width="5.1796875" style="100" customWidth="1"/>
    <col min="2" max="2" width="5.54296875" style="100" customWidth="1"/>
    <col min="3" max="3" width="37.7265625" style="359" customWidth="1"/>
    <col min="4" max="4" width="37.453125" style="100" customWidth="1"/>
    <col min="5" max="5" width="24.453125" style="100" customWidth="1"/>
    <col min="6" max="6" width="10.26953125" style="100" customWidth="1"/>
    <col min="7" max="7" width="10" style="100" customWidth="1"/>
    <col min="8" max="8" width="24.4531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14.453125" style="100" hidden="1" customWidth="1"/>
    <col min="15" max="15" width="14.26953125" style="100" hidden="1" customWidth="1"/>
    <col min="16" max="16" width="8.7265625" style="100" hidden="1" customWidth="1"/>
    <col min="17" max="17" width="13.1796875" style="100" hidden="1" customWidth="1"/>
    <col min="18" max="18" width="13.54296875" style="100" hidden="1" customWidth="1"/>
    <col min="19" max="19" width="12.7265625" style="100" hidden="1" customWidth="1"/>
    <col min="20" max="20" width="13.453125" style="100" hidden="1" customWidth="1"/>
    <col min="21" max="22" width="13.1796875" style="100" hidden="1" customWidth="1"/>
    <col min="23" max="23" width="10.54296875" style="100" hidden="1" customWidth="1"/>
    <col min="24" max="24" width="12.816406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9" width="11.81640625" style="100" hidden="1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.1796875" style="100" hidden="1" customWidth="1"/>
    <col min="34" max="34" width="19.81640625" style="100" hidden="1" customWidth="1"/>
    <col min="35" max="35" width="17.54296875" style="113" customWidth="1"/>
    <col min="36" max="36" width="56.453125" style="100" customWidth="1"/>
    <col min="37" max="37" width="12.26953125" style="111" bestFit="1" customWidth="1"/>
    <col min="38" max="38" width="15.1796875" style="113" customWidth="1"/>
    <col min="39" max="16384" width="11.453125" style="100"/>
  </cols>
  <sheetData>
    <row r="3" spans="1:39" x14ac:dyDescent="0.35">
      <c r="B3" s="180"/>
      <c r="C3" s="355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430"/>
      <c r="AJ3" s="180"/>
      <c r="AK3" s="182"/>
    </row>
    <row r="4" spans="1:39" x14ac:dyDescent="0.35">
      <c r="B4" s="180"/>
      <c r="C4" s="355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430"/>
      <c r="AJ4" s="180"/>
      <c r="AK4" s="182"/>
    </row>
    <row r="5" spans="1:39" x14ac:dyDescent="0.35">
      <c r="B5" s="180"/>
      <c r="C5" s="355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430"/>
      <c r="AJ5" s="180"/>
      <c r="AK5" s="182"/>
    </row>
    <row r="6" spans="1:39" x14ac:dyDescent="0.35">
      <c r="B6" s="180"/>
      <c r="C6" s="355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430"/>
      <c r="AJ6" s="180"/>
      <c r="AK6" s="182"/>
    </row>
    <row r="7" spans="1:39" x14ac:dyDescent="0.35">
      <c r="B7" s="180"/>
      <c r="C7" s="355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430"/>
      <c r="AJ7" s="180"/>
      <c r="AK7" s="182"/>
    </row>
    <row r="8" spans="1:39" x14ac:dyDescent="0.35">
      <c r="B8" s="180"/>
      <c r="C8" s="355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430"/>
      <c r="AJ8" s="180"/>
      <c r="AK8" s="182"/>
    </row>
    <row r="9" spans="1:39" ht="30" customHeight="1" x14ac:dyDescent="0.35">
      <c r="B9" s="180"/>
      <c r="C9" s="355"/>
      <c r="D9" s="180"/>
      <c r="E9" s="180"/>
      <c r="F9" s="293" t="s">
        <v>105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430"/>
      <c r="AJ9" s="180"/>
      <c r="AK9" s="182"/>
    </row>
    <row r="10" spans="1:39" x14ac:dyDescent="0.35">
      <c r="B10" s="180"/>
      <c r="C10" s="355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430"/>
      <c r="AJ10" s="180"/>
      <c r="AK10" s="182"/>
    </row>
    <row r="11" spans="1:39" s="99" customFormat="1" ht="15.5" x14ac:dyDescent="0.35">
      <c r="A11" s="100"/>
      <c r="B11" s="594"/>
      <c r="C11" s="594"/>
      <c r="D11" s="594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180"/>
      <c r="AK11" s="182"/>
      <c r="AL11" s="111"/>
    </row>
    <row r="12" spans="1:39" s="99" customFormat="1" ht="15.5" x14ac:dyDescent="0.35">
      <c r="A12" s="100"/>
      <c r="B12" s="595" t="str">
        <f>REGIDORES!B11</f>
        <v>NOMINA DEL 1 AL 15 DE ENERO DEL 2022</v>
      </c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5"/>
      <c r="P12" s="595"/>
      <c r="Q12" s="595"/>
      <c r="R12" s="595"/>
      <c r="S12" s="595"/>
      <c r="T12" s="595"/>
      <c r="U12" s="595"/>
      <c r="V12" s="595"/>
      <c r="W12" s="595"/>
      <c r="X12" s="595"/>
      <c r="Y12" s="595"/>
      <c r="Z12" s="595"/>
      <c r="AA12" s="595"/>
      <c r="AB12" s="595"/>
      <c r="AC12" s="595"/>
      <c r="AD12" s="595"/>
      <c r="AE12" s="595"/>
      <c r="AF12" s="595"/>
      <c r="AG12" s="595"/>
      <c r="AH12" s="595"/>
      <c r="AI12" s="595"/>
      <c r="AJ12" s="180"/>
      <c r="AK12" s="182"/>
      <c r="AL12" s="111"/>
    </row>
    <row r="13" spans="1:39" s="99" customFormat="1" ht="28.5" customHeight="1" x14ac:dyDescent="0.35">
      <c r="A13" s="100"/>
      <c r="B13" s="164"/>
      <c r="C13" s="357"/>
      <c r="D13" s="164"/>
      <c r="E13" s="164"/>
      <c r="F13" s="162" t="s">
        <v>277</v>
      </c>
      <c r="G13" s="162" t="s">
        <v>9</v>
      </c>
      <c r="H13" s="563" t="s">
        <v>2</v>
      </c>
      <c r="I13" s="563"/>
      <c r="J13" s="563"/>
      <c r="K13" s="563"/>
      <c r="L13" s="563"/>
      <c r="M13" s="563"/>
      <c r="N13" s="563"/>
      <c r="O13" s="563"/>
      <c r="P13" s="162"/>
      <c r="Q13" s="162" t="s">
        <v>48</v>
      </c>
      <c r="R13" s="162"/>
      <c r="S13" s="596" t="s">
        <v>30</v>
      </c>
      <c r="T13" s="596"/>
      <c r="U13" s="596"/>
      <c r="V13" s="596"/>
      <c r="W13" s="596"/>
      <c r="X13" s="596"/>
      <c r="Y13" s="162" t="s">
        <v>278</v>
      </c>
      <c r="Z13" s="162" t="s">
        <v>31</v>
      </c>
      <c r="AA13" s="162"/>
      <c r="AB13" s="588" t="s">
        <v>202</v>
      </c>
      <c r="AC13" s="596" t="s">
        <v>3</v>
      </c>
      <c r="AD13" s="596"/>
      <c r="AE13" s="596"/>
      <c r="AF13" s="596"/>
      <c r="AG13" s="596"/>
      <c r="AH13" s="596"/>
      <c r="AI13" s="597" t="s">
        <v>204</v>
      </c>
      <c r="AJ13" s="164"/>
      <c r="AK13" s="182"/>
      <c r="AL13" s="111"/>
    </row>
    <row r="14" spans="1:39" s="99" customFormat="1" ht="17.5" x14ac:dyDescent="0.35">
      <c r="A14" s="100"/>
      <c r="B14" s="162" t="s">
        <v>279</v>
      </c>
      <c r="C14" s="423" t="s">
        <v>43</v>
      </c>
      <c r="D14" s="162" t="s">
        <v>101</v>
      </c>
      <c r="E14" s="162" t="s">
        <v>214</v>
      </c>
      <c r="F14" s="176" t="s">
        <v>44</v>
      </c>
      <c r="G14" s="162" t="s">
        <v>45</v>
      </c>
      <c r="H14" s="588" t="s">
        <v>201</v>
      </c>
      <c r="I14" s="162" t="s">
        <v>46</v>
      </c>
      <c r="J14" s="162" t="s">
        <v>46</v>
      </c>
      <c r="K14" s="162" t="s">
        <v>73</v>
      </c>
      <c r="L14" s="162" t="s">
        <v>48</v>
      </c>
      <c r="M14" s="162" t="s">
        <v>50</v>
      </c>
      <c r="N14" s="588" t="s">
        <v>285</v>
      </c>
      <c r="O14" s="588" t="s">
        <v>286</v>
      </c>
      <c r="P14" s="162"/>
      <c r="Q14" s="162" t="s">
        <v>49</v>
      </c>
      <c r="R14" s="162" t="s">
        <v>56</v>
      </c>
      <c r="S14" s="162" t="s">
        <v>33</v>
      </c>
      <c r="T14" s="162" t="s">
        <v>58</v>
      </c>
      <c r="U14" s="162" t="s">
        <v>60</v>
      </c>
      <c r="V14" s="162" t="s">
        <v>61</v>
      </c>
      <c r="W14" s="162" t="s">
        <v>35</v>
      </c>
      <c r="X14" s="162" t="s">
        <v>31</v>
      </c>
      <c r="Y14" s="162" t="s">
        <v>64</v>
      </c>
      <c r="Z14" s="162" t="s">
        <v>65</v>
      </c>
      <c r="AA14" s="162"/>
      <c r="AB14" s="588"/>
      <c r="AC14" s="162" t="s">
        <v>4</v>
      </c>
      <c r="AD14" s="162" t="s">
        <v>5</v>
      </c>
      <c r="AE14" s="162" t="s">
        <v>278</v>
      </c>
      <c r="AF14" s="162" t="s">
        <v>74</v>
      </c>
      <c r="AG14" s="161" t="s">
        <v>99</v>
      </c>
      <c r="AH14" s="588" t="s">
        <v>203</v>
      </c>
      <c r="AI14" s="597"/>
      <c r="AJ14" s="164"/>
      <c r="AK14" s="182"/>
      <c r="AL14" s="111"/>
    </row>
    <row r="15" spans="1:39" s="99" customFormat="1" ht="16.5" customHeight="1" x14ac:dyDescent="0.35">
      <c r="A15" s="100"/>
      <c r="B15" s="162"/>
      <c r="C15" s="423"/>
      <c r="D15" s="162"/>
      <c r="E15" s="162"/>
      <c r="F15" s="162"/>
      <c r="G15" s="162"/>
      <c r="H15" s="588"/>
      <c r="I15" s="162" t="s">
        <v>76</v>
      </c>
      <c r="J15" s="162" t="s">
        <v>47</v>
      </c>
      <c r="K15" s="162"/>
      <c r="L15" s="162" t="s">
        <v>49</v>
      </c>
      <c r="M15" s="162" t="s">
        <v>51</v>
      </c>
      <c r="N15" s="588"/>
      <c r="O15" s="588"/>
      <c r="P15" s="162"/>
      <c r="Q15" s="162" t="s">
        <v>66</v>
      </c>
      <c r="R15" s="162" t="s">
        <v>57</v>
      </c>
      <c r="S15" s="162" t="s">
        <v>34</v>
      </c>
      <c r="T15" s="162" t="s">
        <v>59</v>
      </c>
      <c r="U15" s="162" t="s">
        <v>59</v>
      </c>
      <c r="V15" s="162" t="s">
        <v>62</v>
      </c>
      <c r="W15" s="162" t="s">
        <v>36</v>
      </c>
      <c r="X15" s="162" t="s">
        <v>63</v>
      </c>
      <c r="Y15" s="162" t="s">
        <v>40</v>
      </c>
      <c r="Z15" s="162" t="s">
        <v>94</v>
      </c>
      <c r="AA15" s="162"/>
      <c r="AB15" s="588"/>
      <c r="AC15" s="162"/>
      <c r="AD15" s="162"/>
      <c r="AE15" s="162" t="s">
        <v>72</v>
      </c>
      <c r="AF15" s="162" t="s">
        <v>75</v>
      </c>
      <c r="AG15" s="162"/>
      <c r="AH15" s="588"/>
      <c r="AI15" s="597"/>
      <c r="AJ15" s="162" t="s">
        <v>100</v>
      </c>
      <c r="AK15" s="182"/>
      <c r="AL15" s="111"/>
    </row>
    <row r="16" spans="1:39" s="99" customFormat="1" ht="43.5" customHeight="1" x14ac:dyDescent="0.35">
      <c r="A16" s="100"/>
      <c r="B16" s="164">
        <v>1</v>
      </c>
      <c r="C16" s="356" t="s">
        <v>109</v>
      </c>
      <c r="D16" s="177" t="s">
        <v>106</v>
      </c>
      <c r="E16" s="177"/>
      <c r="F16" s="177">
        <v>15</v>
      </c>
      <c r="G16" s="183">
        <v>98.14</v>
      </c>
      <c r="H16" s="184">
        <v>1531</v>
      </c>
      <c r="I16" s="185">
        <v>0</v>
      </c>
      <c r="J16" s="185">
        <f>I16</f>
        <v>0</v>
      </c>
      <c r="K16" s="185">
        <v>0</v>
      </c>
      <c r="L16" s="185">
        <v>0</v>
      </c>
      <c r="M16" s="185">
        <v>0</v>
      </c>
      <c r="N16" s="185">
        <v>0</v>
      </c>
      <c r="O16" s="184">
        <f t="shared" ref="O16:O22" si="0">SUM(H16:N16)</f>
        <v>1531</v>
      </c>
      <c r="P16" s="186"/>
      <c r="Q16" s="184">
        <f>IF(G16=47.16,0,IF(G16&gt;47.16,L16*0.5,0))</f>
        <v>0</v>
      </c>
      <c r="R16" s="184">
        <f>H16+I16+J16+M16+Q16+K16</f>
        <v>1531</v>
      </c>
      <c r="S16" s="184">
        <f t="shared" ref="S16:S22" si="1">VLOOKUP(R16,TARIFA1,1)</f>
        <v>318.01</v>
      </c>
      <c r="T16" s="184">
        <f>R16-S16</f>
        <v>1212.99</v>
      </c>
      <c r="U16" s="187">
        <f t="shared" ref="U16:U22" si="2">VLOOKUP(R16,TARIFA1,3)</f>
        <v>6.4000000000000001E-2</v>
      </c>
      <c r="V16" s="184">
        <f>T16*U16</f>
        <v>77.631360000000001</v>
      </c>
      <c r="W16" s="184">
        <f t="shared" ref="W16:W22" si="3">VLOOKUP(R16,TARIFA1,2)</f>
        <v>6.15</v>
      </c>
      <c r="X16" s="184">
        <f>V16+W16</f>
        <v>83.781360000000006</v>
      </c>
      <c r="Y16" s="184">
        <f t="shared" ref="Y16:Y22" si="4">VLOOKUP(R16,Credito1,2)</f>
        <v>200.7</v>
      </c>
      <c r="Z16" s="184">
        <f>X16-Y16</f>
        <v>-116.91863999999998</v>
      </c>
      <c r="AA16" s="188"/>
      <c r="AB16" s="184">
        <v>0</v>
      </c>
      <c r="AC16" s="184">
        <f t="shared" ref="AC16:AC22" si="5">IF(Z16&lt;0,0,Z16)</f>
        <v>0</v>
      </c>
      <c r="AD16" s="184">
        <v>0</v>
      </c>
      <c r="AE16" s="185">
        <v>0</v>
      </c>
      <c r="AF16" s="185">
        <v>0</v>
      </c>
      <c r="AG16" s="235">
        <v>0</v>
      </c>
      <c r="AH16" s="184">
        <f t="shared" ref="AH16:AH22" si="6">SUM(AC16:AG16)</f>
        <v>0</v>
      </c>
      <c r="AI16" s="431">
        <f t="shared" ref="AI16:AI22" si="7">O16+AB16-AH16</f>
        <v>1531</v>
      </c>
      <c r="AJ16" s="184"/>
      <c r="AK16" s="242"/>
      <c r="AL16" s="110"/>
      <c r="AM16" s="101"/>
    </row>
    <row r="17" spans="1:45" s="99" customFormat="1" ht="43.5" customHeight="1" x14ac:dyDescent="0.35">
      <c r="A17" s="100"/>
      <c r="B17" s="164">
        <v>2</v>
      </c>
      <c r="C17" s="424" t="s">
        <v>494</v>
      </c>
      <c r="D17" s="243" t="s">
        <v>106</v>
      </c>
      <c r="E17" s="243"/>
      <c r="F17" s="243">
        <v>15</v>
      </c>
      <c r="G17" s="244">
        <v>98.14</v>
      </c>
      <c r="H17" s="184">
        <v>1531</v>
      </c>
      <c r="I17" s="245">
        <v>0</v>
      </c>
      <c r="J17" s="245">
        <f>I17</f>
        <v>0</v>
      </c>
      <c r="K17" s="245">
        <v>0</v>
      </c>
      <c r="L17" s="245">
        <v>0</v>
      </c>
      <c r="M17" s="245">
        <v>0</v>
      </c>
      <c r="N17" s="245">
        <v>0</v>
      </c>
      <c r="O17" s="246">
        <f t="shared" si="0"/>
        <v>1531</v>
      </c>
      <c r="P17" s="247"/>
      <c r="Q17" s="246">
        <f>IF(G17=47.16,0,IF(G17&gt;47.16,L17*0.5,0))</f>
        <v>0</v>
      </c>
      <c r="R17" s="246">
        <f>H17+I17+J17+M17+Q17+K17</f>
        <v>1531</v>
      </c>
      <c r="S17" s="246">
        <f t="shared" si="1"/>
        <v>318.01</v>
      </c>
      <c r="T17" s="246">
        <f>R17-S17</f>
        <v>1212.99</v>
      </c>
      <c r="U17" s="248">
        <f t="shared" si="2"/>
        <v>6.4000000000000001E-2</v>
      </c>
      <c r="V17" s="246">
        <f>T17*U17</f>
        <v>77.631360000000001</v>
      </c>
      <c r="W17" s="246">
        <f t="shared" si="3"/>
        <v>6.15</v>
      </c>
      <c r="X17" s="246">
        <f>V17+W17</f>
        <v>83.781360000000006</v>
      </c>
      <c r="Y17" s="246">
        <f t="shared" si="4"/>
        <v>200.7</v>
      </c>
      <c r="Z17" s="246">
        <f>X17-Y17</f>
        <v>-116.91863999999998</v>
      </c>
      <c r="AA17" s="249"/>
      <c r="AB17" s="246">
        <v>0</v>
      </c>
      <c r="AC17" s="246">
        <f t="shared" si="5"/>
        <v>0</v>
      </c>
      <c r="AD17" s="246">
        <v>0</v>
      </c>
      <c r="AE17" s="245">
        <v>0</v>
      </c>
      <c r="AF17" s="245">
        <v>0</v>
      </c>
      <c r="AG17" s="250">
        <v>0</v>
      </c>
      <c r="AH17" s="246">
        <f t="shared" si="6"/>
        <v>0</v>
      </c>
      <c r="AI17" s="432">
        <f t="shared" si="7"/>
        <v>1531</v>
      </c>
      <c r="AJ17" s="184"/>
      <c r="AK17" s="242"/>
      <c r="AL17" s="110"/>
      <c r="AM17" s="101"/>
    </row>
    <row r="18" spans="1:45" s="99" customFormat="1" ht="43.5" customHeight="1" x14ac:dyDescent="0.35">
      <c r="A18" s="100"/>
      <c r="B18" s="164">
        <v>3</v>
      </c>
      <c r="C18" s="424" t="s">
        <v>164</v>
      </c>
      <c r="D18" s="243" t="s">
        <v>106</v>
      </c>
      <c r="E18" s="243"/>
      <c r="F18" s="243">
        <v>15</v>
      </c>
      <c r="G18" s="244">
        <v>98.14</v>
      </c>
      <c r="H18" s="184">
        <v>1531</v>
      </c>
      <c r="I18" s="245">
        <v>0</v>
      </c>
      <c r="J18" s="245">
        <f>I18</f>
        <v>0</v>
      </c>
      <c r="K18" s="245">
        <v>0</v>
      </c>
      <c r="L18" s="245">
        <v>0</v>
      </c>
      <c r="M18" s="245">
        <v>0</v>
      </c>
      <c r="N18" s="245">
        <v>0</v>
      </c>
      <c r="O18" s="246">
        <f t="shared" si="0"/>
        <v>1531</v>
      </c>
      <c r="P18" s="247"/>
      <c r="Q18" s="246">
        <f>IF(G18=47.16,0,IF(G18&gt;47.16,L18*0.5,0))</f>
        <v>0</v>
      </c>
      <c r="R18" s="246">
        <f>H18+I18+J18+M18+Q18+K18</f>
        <v>1531</v>
      </c>
      <c r="S18" s="246">
        <f t="shared" si="1"/>
        <v>318.01</v>
      </c>
      <c r="T18" s="246">
        <f>R18-S18</f>
        <v>1212.99</v>
      </c>
      <c r="U18" s="248">
        <f t="shared" si="2"/>
        <v>6.4000000000000001E-2</v>
      </c>
      <c r="V18" s="246">
        <f>T18*U18</f>
        <v>77.631360000000001</v>
      </c>
      <c r="W18" s="246">
        <f t="shared" si="3"/>
        <v>6.15</v>
      </c>
      <c r="X18" s="246">
        <f>V18+W18</f>
        <v>83.781360000000006</v>
      </c>
      <c r="Y18" s="246">
        <f t="shared" si="4"/>
        <v>200.7</v>
      </c>
      <c r="Z18" s="246">
        <f>X18-Y18</f>
        <v>-116.91863999999998</v>
      </c>
      <c r="AA18" s="249"/>
      <c r="AB18" s="246">
        <v>0</v>
      </c>
      <c r="AC18" s="246">
        <f t="shared" si="5"/>
        <v>0</v>
      </c>
      <c r="AD18" s="246">
        <v>0</v>
      </c>
      <c r="AE18" s="245">
        <v>0</v>
      </c>
      <c r="AF18" s="245">
        <v>0</v>
      </c>
      <c r="AG18" s="250">
        <v>0</v>
      </c>
      <c r="AH18" s="246">
        <f t="shared" si="6"/>
        <v>0</v>
      </c>
      <c r="AI18" s="432">
        <f t="shared" si="7"/>
        <v>1531</v>
      </c>
      <c r="AJ18" s="184"/>
      <c r="AK18" s="182"/>
      <c r="AL18" s="111"/>
    </row>
    <row r="19" spans="1:45" s="99" customFormat="1" ht="43.5" customHeight="1" x14ac:dyDescent="0.35">
      <c r="A19" s="100"/>
      <c r="B19" s="164">
        <v>4</v>
      </c>
      <c r="C19" s="424" t="s">
        <v>110</v>
      </c>
      <c r="D19" s="243" t="s">
        <v>106</v>
      </c>
      <c r="E19" s="243"/>
      <c r="F19" s="243">
        <v>15</v>
      </c>
      <c r="G19" s="244">
        <v>98.14</v>
      </c>
      <c r="H19" s="184">
        <v>1531</v>
      </c>
      <c r="I19" s="245">
        <v>0</v>
      </c>
      <c r="J19" s="245">
        <f>I19</f>
        <v>0</v>
      </c>
      <c r="K19" s="245">
        <v>0</v>
      </c>
      <c r="L19" s="245">
        <v>0</v>
      </c>
      <c r="M19" s="245">
        <v>0</v>
      </c>
      <c r="N19" s="245">
        <v>0</v>
      </c>
      <c r="O19" s="246">
        <f t="shared" si="0"/>
        <v>1531</v>
      </c>
      <c r="P19" s="247"/>
      <c r="Q19" s="246">
        <f>IF(G19=47.16,0,IF(G19&gt;47.16,L19*0.5,0))</f>
        <v>0</v>
      </c>
      <c r="R19" s="246">
        <f>H19+I19+J19+M19+Q19+K19</f>
        <v>1531</v>
      </c>
      <c r="S19" s="246">
        <f t="shared" si="1"/>
        <v>318.01</v>
      </c>
      <c r="T19" s="246">
        <f>R19-S19</f>
        <v>1212.99</v>
      </c>
      <c r="U19" s="248">
        <f t="shared" si="2"/>
        <v>6.4000000000000001E-2</v>
      </c>
      <c r="V19" s="246">
        <f>T19*U19</f>
        <v>77.631360000000001</v>
      </c>
      <c r="W19" s="246">
        <f t="shared" si="3"/>
        <v>6.15</v>
      </c>
      <c r="X19" s="246">
        <f>V19+W19</f>
        <v>83.781360000000006</v>
      </c>
      <c r="Y19" s="246">
        <f t="shared" si="4"/>
        <v>200.7</v>
      </c>
      <c r="Z19" s="246">
        <f>X19-Y19</f>
        <v>-116.91863999999998</v>
      </c>
      <c r="AA19" s="249"/>
      <c r="AB19" s="246">
        <v>0</v>
      </c>
      <c r="AC19" s="246">
        <f t="shared" si="5"/>
        <v>0</v>
      </c>
      <c r="AD19" s="246">
        <v>0</v>
      </c>
      <c r="AE19" s="245">
        <v>0</v>
      </c>
      <c r="AF19" s="245">
        <v>0</v>
      </c>
      <c r="AG19" s="250">
        <v>0</v>
      </c>
      <c r="AH19" s="246">
        <f t="shared" si="6"/>
        <v>0</v>
      </c>
      <c r="AI19" s="432">
        <f t="shared" si="7"/>
        <v>1531</v>
      </c>
      <c r="AJ19" s="184"/>
      <c r="AK19" s="182"/>
      <c r="AL19" s="111"/>
    </row>
    <row r="20" spans="1:45" s="99" customFormat="1" ht="43.5" customHeight="1" x14ac:dyDescent="0.35">
      <c r="A20" s="100"/>
      <c r="B20" s="164">
        <v>5</v>
      </c>
      <c r="C20" s="356" t="s">
        <v>184</v>
      </c>
      <c r="D20" s="177" t="s">
        <v>106</v>
      </c>
      <c r="E20" s="177"/>
      <c r="F20" s="177">
        <v>15</v>
      </c>
      <c r="G20" s="183">
        <v>98.14</v>
      </c>
      <c r="H20" s="184">
        <v>1531</v>
      </c>
      <c r="I20" s="185">
        <v>0</v>
      </c>
      <c r="J20" s="185">
        <f>I20</f>
        <v>0</v>
      </c>
      <c r="K20" s="185">
        <v>0</v>
      </c>
      <c r="L20" s="185">
        <v>0</v>
      </c>
      <c r="M20" s="185">
        <v>0</v>
      </c>
      <c r="N20" s="185">
        <v>0</v>
      </c>
      <c r="O20" s="184">
        <f t="shared" si="0"/>
        <v>1531</v>
      </c>
      <c r="P20" s="186"/>
      <c r="Q20" s="184">
        <f>IF(G20=47.16,0,IF(G20&gt;47.16,L20*0.5,0))</f>
        <v>0</v>
      </c>
      <c r="R20" s="184">
        <f>H20+I20+J20+M20+Q20+K20</f>
        <v>1531</v>
      </c>
      <c r="S20" s="184">
        <f t="shared" si="1"/>
        <v>318.01</v>
      </c>
      <c r="T20" s="184">
        <f>R20-S20</f>
        <v>1212.99</v>
      </c>
      <c r="U20" s="187">
        <f t="shared" si="2"/>
        <v>6.4000000000000001E-2</v>
      </c>
      <c r="V20" s="184">
        <f>T20*U20</f>
        <v>77.631360000000001</v>
      </c>
      <c r="W20" s="184">
        <f t="shared" si="3"/>
        <v>6.15</v>
      </c>
      <c r="X20" s="184">
        <f>V20+W20</f>
        <v>83.781360000000006</v>
      </c>
      <c r="Y20" s="184">
        <f t="shared" si="4"/>
        <v>200.7</v>
      </c>
      <c r="Z20" s="184">
        <f>X20-Y20</f>
        <v>-116.91863999999998</v>
      </c>
      <c r="AA20" s="188"/>
      <c r="AB20" s="184">
        <v>0</v>
      </c>
      <c r="AC20" s="184">
        <f t="shared" si="5"/>
        <v>0</v>
      </c>
      <c r="AD20" s="184">
        <v>0</v>
      </c>
      <c r="AE20" s="185">
        <v>0</v>
      </c>
      <c r="AF20" s="185">
        <v>0</v>
      </c>
      <c r="AG20" s="235">
        <v>0</v>
      </c>
      <c r="AH20" s="184">
        <f t="shared" si="6"/>
        <v>0</v>
      </c>
      <c r="AI20" s="431">
        <f t="shared" si="7"/>
        <v>1531</v>
      </c>
      <c r="AJ20" s="184"/>
      <c r="AK20" s="182"/>
      <c r="AL20" s="111"/>
    </row>
    <row r="21" spans="1:45" s="99" customFormat="1" ht="43.5" customHeight="1" x14ac:dyDescent="0.35">
      <c r="A21" s="100"/>
      <c r="B21" s="164">
        <v>6</v>
      </c>
      <c r="C21" s="356" t="s">
        <v>258</v>
      </c>
      <c r="D21" s="177" t="s">
        <v>106</v>
      </c>
      <c r="E21" s="177"/>
      <c r="F21" s="177">
        <v>15</v>
      </c>
      <c r="G21" s="183">
        <v>98.14</v>
      </c>
      <c r="H21" s="184">
        <v>1531</v>
      </c>
      <c r="I21" s="185">
        <v>0</v>
      </c>
      <c r="J21" s="185">
        <f t="shared" ref="J21:J22" si="8">I21</f>
        <v>0</v>
      </c>
      <c r="K21" s="185">
        <v>0</v>
      </c>
      <c r="L21" s="185">
        <v>0</v>
      </c>
      <c r="M21" s="185">
        <v>0</v>
      </c>
      <c r="N21" s="185">
        <v>0</v>
      </c>
      <c r="O21" s="184">
        <f t="shared" si="0"/>
        <v>1531</v>
      </c>
      <c r="P21" s="186"/>
      <c r="Q21" s="184">
        <f t="shared" ref="Q21:Q22" si="9">IF(G21=47.16,0,IF(G21&gt;47.16,L21*0.5,0))</f>
        <v>0</v>
      </c>
      <c r="R21" s="184">
        <f t="shared" ref="R21:R22" si="10">H21+I21+J21+M21+Q21+K21</f>
        <v>1531</v>
      </c>
      <c r="S21" s="184">
        <f t="shared" si="1"/>
        <v>318.01</v>
      </c>
      <c r="T21" s="184">
        <f t="shared" ref="T21:T22" si="11">R21-S21</f>
        <v>1212.99</v>
      </c>
      <c r="U21" s="187">
        <f t="shared" si="2"/>
        <v>6.4000000000000001E-2</v>
      </c>
      <c r="V21" s="184">
        <f t="shared" ref="V21:V22" si="12">T21*U21</f>
        <v>77.631360000000001</v>
      </c>
      <c r="W21" s="184">
        <f t="shared" si="3"/>
        <v>6.15</v>
      </c>
      <c r="X21" s="184">
        <f t="shared" ref="X21:X22" si="13">V21+W21</f>
        <v>83.781360000000006</v>
      </c>
      <c r="Y21" s="184">
        <f t="shared" si="4"/>
        <v>200.7</v>
      </c>
      <c r="Z21" s="184">
        <f t="shared" ref="Z21:Z22" si="14">X21-Y21</f>
        <v>-116.91863999999998</v>
      </c>
      <c r="AA21" s="188"/>
      <c r="AB21" s="184">
        <v>0</v>
      </c>
      <c r="AC21" s="184">
        <f t="shared" si="5"/>
        <v>0</v>
      </c>
      <c r="AD21" s="184">
        <v>0</v>
      </c>
      <c r="AE21" s="185">
        <v>0</v>
      </c>
      <c r="AF21" s="185">
        <v>0</v>
      </c>
      <c r="AG21" s="235">
        <v>0</v>
      </c>
      <c r="AH21" s="184">
        <f t="shared" si="6"/>
        <v>0</v>
      </c>
      <c r="AI21" s="431">
        <f t="shared" si="7"/>
        <v>1531</v>
      </c>
      <c r="AJ21" s="184"/>
      <c r="AK21" s="182"/>
      <c r="AL21" s="111"/>
    </row>
    <row r="22" spans="1:45" s="99" customFormat="1" ht="30.75" customHeight="1" x14ac:dyDescent="0.35">
      <c r="A22" s="100"/>
      <c r="B22" s="164">
        <v>7</v>
      </c>
      <c r="C22" s="357" t="s">
        <v>259</v>
      </c>
      <c r="D22" s="177" t="s">
        <v>106</v>
      </c>
      <c r="E22" s="164"/>
      <c r="F22" s="164">
        <v>15</v>
      </c>
      <c r="G22" s="183">
        <v>98.14</v>
      </c>
      <c r="H22" s="184">
        <v>1531</v>
      </c>
      <c r="I22" s="185">
        <v>0</v>
      </c>
      <c r="J22" s="185">
        <f t="shared" si="8"/>
        <v>0</v>
      </c>
      <c r="K22" s="185">
        <v>0</v>
      </c>
      <c r="L22" s="185">
        <v>0</v>
      </c>
      <c r="M22" s="185">
        <v>0</v>
      </c>
      <c r="N22" s="185">
        <v>0</v>
      </c>
      <c r="O22" s="184">
        <f t="shared" si="0"/>
        <v>1531</v>
      </c>
      <c r="P22" s="186"/>
      <c r="Q22" s="184">
        <f t="shared" si="9"/>
        <v>0</v>
      </c>
      <c r="R22" s="184">
        <f t="shared" si="10"/>
        <v>1531</v>
      </c>
      <c r="S22" s="184">
        <f t="shared" si="1"/>
        <v>318.01</v>
      </c>
      <c r="T22" s="184">
        <f t="shared" si="11"/>
        <v>1212.99</v>
      </c>
      <c r="U22" s="187">
        <f t="shared" si="2"/>
        <v>6.4000000000000001E-2</v>
      </c>
      <c r="V22" s="184">
        <f t="shared" si="12"/>
        <v>77.631360000000001</v>
      </c>
      <c r="W22" s="184">
        <f t="shared" si="3"/>
        <v>6.15</v>
      </c>
      <c r="X22" s="184">
        <f t="shared" si="13"/>
        <v>83.781360000000006</v>
      </c>
      <c r="Y22" s="184">
        <f t="shared" si="4"/>
        <v>200.7</v>
      </c>
      <c r="Z22" s="184">
        <f t="shared" si="14"/>
        <v>-116.91863999999998</v>
      </c>
      <c r="AA22" s="186"/>
      <c r="AB22" s="184">
        <v>0</v>
      </c>
      <c r="AC22" s="184">
        <f t="shared" si="5"/>
        <v>0</v>
      </c>
      <c r="AD22" s="184">
        <v>0</v>
      </c>
      <c r="AE22" s="185">
        <v>0</v>
      </c>
      <c r="AF22" s="185">
        <v>0</v>
      </c>
      <c r="AG22" s="235">
        <v>0</v>
      </c>
      <c r="AH22" s="184">
        <f t="shared" si="6"/>
        <v>0</v>
      </c>
      <c r="AI22" s="431">
        <f t="shared" si="7"/>
        <v>1531</v>
      </c>
      <c r="AJ22" s="164"/>
      <c r="AK22" s="242"/>
      <c r="AL22" s="110"/>
    </row>
    <row r="23" spans="1:45" x14ac:dyDescent="0.35">
      <c r="B23" s="168"/>
      <c r="C23" s="425"/>
      <c r="D23" s="168"/>
      <c r="E23" s="168"/>
      <c r="F23" s="168"/>
      <c r="G23" s="168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2"/>
      <c r="T23" s="193"/>
      <c r="U23" s="193"/>
      <c r="V23" s="193"/>
      <c r="W23" s="193"/>
      <c r="X23" s="193"/>
      <c r="Y23" s="192"/>
      <c r="Z23" s="193"/>
      <c r="AA23" s="193"/>
      <c r="AB23" s="193"/>
      <c r="AC23" s="193"/>
      <c r="AD23" s="193"/>
      <c r="AE23" s="193"/>
      <c r="AF23" s="193"/>
      <c r="AG23" s="193"/>
      <c r="AH23" s="193"/>
      <c r="AI23" s="433"/>
      <c r="AJ23" s="180"/>
      <c r="AK23" s="182"/>
    </row>
    <row r="24" spans="1:45" ht="16" thickBot="1" x14ac:dyDescent="0.4">
      <c r="B24" s="590" t="s">
        <v>68</v>
      </c>
      <c r="C24" s="591"/>
      <c r="D24" s="591"/>
      <c r="E24" s="591"/>
      <c r="F24" s="591"/>
      <c r="G24" s="592"/>
      <c r="H24" s="194">
        <f t="shared" ref="H24:O24" si="15">SUM(H16:H22)</f>
        <v>10717</v>
      </c>
      <c r="I24" s="194">
        <f t="shared" si="15"/>
        <v>0</v>
      </c>
      <c r="J24" s="194">
        <f t="shared" si="15"/>
        <v>0</v>
      </c>
      <c r="K24" s="194">
        <f t="shared" si="15"/>
        <v>0</v>
      </c>
      <c r="L24" s="194">
        <f t="shared" si="15"/>
        <v>0</v>
      </c>
      <c r="M24" s="194">
        <f t="shared" si="15"/>
        <v>0</v>
      </c>
      <c r="N24" s="194">
        <f t="shared" si="15"/>
        <v>0</v>
      </c>
      <c r="O24" s="194">
        <f t="shared" si="15"/>
        <v>10717</v>
      </c>
      <c r="P24" s="194"/>
      <c r="Q24" s="194">
        <f t="shared" ref="Q24:Z24" si="16">SUM(Q16:Q22)</f>
        <v>0</v>
      </c>
      <c r="R24" s="194">
        <f t="shared" si="16"/>
        <v>10717</v>
      </c>
      <c r="S24" s="194">
        <f t="shared" si="16"/>
        <v>2226.0699999999997</v>
      </c>
      <c r="T24" s="194">
        <f t="shared" si="16"/>
        <v>8490.93</v>
      </c>
      <c r="U24" s="194">
        <f t="shared" si="16"/>
        <v>0.44800000000000001</v>
      </c>
      <c r="V24" s="194">
        <f t="shared" si="16"/>
        <v>543.41951999999992</v>
      </c>
      <c r="W24" s="194">
        <f t="shared" si="16"/>
        <v>43.05</v>
      </c>
      <c r="X24" s="194">
        <f t="shared" si="16"/>
        <v>586.4695200000001</v>
      </c>
      <c r="Y24" s="194">
        <f t="shared" si="16"/>
        <v>1404.9</v>
      </c>
      <c r="Z24" s="194">
        <f t="shared" si="16"/>
        <v>-818.43047999999987</v>
      </c>
      <c r="AA24" s="194"/>
      <c r="AB24" s="194">
        <f t="shared" ref="AB24:AH24" si="17">SUM(AB16:AB22)</f>
        <v>0</v>
      </c>
      <c r="AC24" s="194">
        <f t="shared" si="17"/>
        <v>0</v>
      </c>
      <c r="AD24" s="194">
        <f t="shared" si="17"/>
        <v>0</v>
      </c>
      <c r="AE24" s="194">
        <f t="shared" si="17"/>
        <v>0</v>
      </c>
      <c r="AF24" s="194">
        <f t="shared" si="17"/>
        <v>0</v>
      </c>
      <c r="AG24" s="194">
        <f t="shared" si="17"/>
        <v>0</v>
      </c>
      <c r="AH24" s="194">
        <f t="shared" si="17"/>
        <v>0</v>
      </c>
      <c r="AI24" s="434">
        <f>SUM(AI16:AI22)</f>
        <v>10717</v>
      </c>
      <c r="AJ24" s="180"/>
      <c r="AK24" s="182"/>
      <c r="AL24" s="110">
        <f>O24+AB24-AH24</f>
        <v>10717</v>
      </c>
    </row>
    <row r="25" spans="1:45" ht="17.5" thickTop="1" x14ac:dyDescent="0.35">
      <c r="B25" s="180"/>
      <c r="C25" s="35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430"/>
      <c r="AJ25" s="180"/>
      <c r="AK25" s="182"/>
    </row>
    <row r="26" spans="1:45" x14ac:dyDescent="0.35">
      <c r="B26" s="180"/>
      <c r="C26" s="355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430"/>
      <c r="AJ26" s="180"/>
      <c r="AK26" s="182"/>
    </row>
    <row r="27" spans="1:45" x14ac:dyDescent="0.35">
      <c r="B27" s="180"/>
      <c r="C27" s="355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430"/>
      <c r="AJ27" s="180"/>
      <c r="AK27" s="182"/>
    </row>
    <row r="28" spans="1:45" x14ac:dyDescent="0.35">
      <c r="B28" s="180"/>
      <c r="C28" s="355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430"/>
      <c r="AJ28" s="180"/>
      <c r="AK28" s="182"/>
    </row>
    <row r="29" spans="1:45" x14ac:dyDescent="0.35">
      <c r="B29" s="180"/>
      <c r="C29" s="355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430"/>
      <c r="AJ29" s="180"/>
      <c r="AK29" s="182"/>
    </row>
    <row r="30" spans="1:45" x14ac:dyDescent="0.35">
      <c r="B30" s="180"/>
      <c r="C30" s="355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430"/>
      <c r="AJ30" s="180"/>
      <c r="AK30" s="182"/>
    </row>
    <row r="31" spans="1:45" x14ac:dyDescent="0.35">
      <c r="B31" s="180"/>
      <c r="C31" s="355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430"/>
      <c r="AJ31" s="180"/>
      <c r="AK31" s="182"/>
    </row>
    <row r="32" spans="1:45" x14ac:dyDescent="0.35">
      <c r="B32" s="180"/>
      <c r="C32" s="355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430"/>
      <c r="AJ32" s="180"/>
      <c r="AK32" s="182"/>
      <c r="AR32" s="118"/>
      <c r="AS32" s="103" t="s">
        <v>205</v>
      </c>
    </row>
    <row r="33" spans="1:45" ht="17.5" thickBot="1" x14ac:dyDescent="0.4">
      <c r="A33" s="103" t="s">
        <v>102</v>
      </c>
      <c r="B33" s="180"/>
      <c r="C33" s="358"/>
      <c r="D33" s="196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96"/>
      <c r="AC33" s="196"/>
      <c r="AD33" s="180"/>
      <c r="AE33" s="180"/>
      <c r="AF33" s="180"/>
      <c r="AG33" s="196"/>
      <c r="AH33" s="196"/>
      <c r="AI33" s="435"/>
      <c r="AJ33" s="196"/>
      <c r="AK33" s="182"/>
      <c r="AR33" s="119"/>
      <c r="AS33" s="103" t="s">
        <v>206</v>
      </c>
    </row>
    <row r="34" spans="1:45" ht="31.5" customHeight="1" x14ac:dyDescent="0.35">
      <c r="B34" s="180"/>
      <c r="C34" s="532" t="s">
        <v>296</v>
      </c>
      <c r="D34" s="532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593" t="s">
        <v>283</v>
      </c>
      <c r="AC34" s="593"/>
      <c r="AD34" s="593"/>
      <c r="AE34" s="593"/>
      <c r="AF34" s="593"/>
      <c r="AG34" s="593"/>
      <c r="AH34" s="593"/>
      <c r="AI34" s="593"/>
      <c r="AJ34" s="593"/>
      <c r="AK34" s="182"/>
    </row>
    <row r="35" spans="1:45" ht="31.5" customHeight="1" x14ac:dyDescent="0.35">
      <c r="B35" s="180"/>
      <c r="C35" s="521" t="s">
        <v>297</v>
      </c>
      <c r="D35" s="521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581" t="s">
        <v>104</v>
      </c>
      <c r="AC35" s="581"/>
      <c r="AD35" s="581"/>
      <c r="AE35" s="581"/>
      <c r="AF35" s="581"/>
      <c r="AG35" s="581"/>
      <c r="AH35" s="581"/>
      <c r="AI35" s="581"/>
      <c r="AJ35" s="581"/>
      <c r="AK35" s="182"/>
    </row>
    <row r="36" spans="1:45" x14ac:dyDescent="0.35">
      <c r="B36" s="225"/>
      <c r="C36" s="35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436"/>
      <c r="AJ36" s="225"/>
      <c r="AK36" s="226"/>
    </row>
    <row r="37" spans="1:45" x14ac:dyDescent="0.35">
      <c r="B37" s="225"/>
      <c r="C37" s="35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436"/>
      <c r="AJ37" s="225"/>
      <c r="AK37" s="226"/>
    </row>
    <row r="38" spans="1:45" x14ac:dyDescent="0.35">
      <c r="B38" s="225"/>
      <c r="C38" s="35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436"/>
      <c r="AJ38" s="225"/>
      <c r="AK38" s="226"/>
    </row>
    <row r="39" spans="1:45" x14ac:dyDescent="0.35">
      <c r="B39" s="225"/>
      <c r="C39" s="35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51"/>
      <c r="AI39" s="437"/>
      <c r="AJ39" s="225"/>
      <c r="AK39" s="226"/>
    </row>
    <row r="40" spans="1:45" x14ac:dyDescent="0.35">
      <c r="B40" s="225"/>
      <c r="C40" s="35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51"/>
      <c r="AI40" s="437"/>
      <c r="AJ40" s="225"/>
      <c r="AK40" s="226"/>
    </row>
    <row r="41" spans="1:45" x14ac:dyDescent="0.35">
      <c r="B41" s="225"/>
      <c r="C41" s="35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51"/>
      <c r="AI41" s="437"/>
      <c r="AJ41" s="225"/>
      <c r="AK41" s="226"/>
    </row>
    <row r="42" spans="1:45" x14ac:dyDescent="0.35">
      <c r="AH42" s="112"/>
      <c r="AI42" s="438"/>
    </row>
    <row r="43" spans="1:45" x14ac:dyDescent="0.35">
      <c r="AI43" s="110"/>
    </row>
  </sheetData>
  <mergeCells count="16">
    <mergeCell ref="H14:H15"/>
    <mergeCell ref="O14:O15"/>
    <mergeCell ref="AB13:AB15"/>
    <mergeCell ref="AH14:AH15"/>
    <mergeCell ref="AI13:AI15"/>
    <mergeCell ref="N14:N15"/>
    <mergeCell ref="B11:AI11"/>
    <mergeCell ref="B12:AI12"/>
    <mergeCell ref="H13:O13"/>
    <mergeCell ref="S13:X13"/>
    <mergeCell ref="AC13:AH13"/>
    <mergeCell ref="C34:D34"/>
    <mergeCell ref="C35:D35"/>
    <mergeCell ref="B24:G24"/>
    <mergeCell ref="AB34:AJ34"/>
    <mergeCell ref="AB35:AJ35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K66"/>
  <sheetViews>
    <sheetView showGridLines="0" topLeftCell="A8" workbookViewId="0">
      <selection activeCell="D8" sqref="D8"/>
    </sheetView>
  </sheetViews>
  <sheetFormatPr baseColWidth="10" defaultRowHeight="12.5" x14ac:dyDescent="0.25"/>
  <cols>
    <col min="2" max="2" width="31" style="148" customWidth="1"/>
    <col min="3" max="3" width="17.1796875" style="149" customWidth="1"/>
    <col min="4" max="4" width="22.7265625" customWidth="1"/>
    <col min="5" max="5" width="13.1796875" customWidth="1"/>
    <col min="6" max="6" width="13.453125" customWidth="1"/>
    <col min="7" max="7" width="13.81640625" style="109" customWidth="1"/>
    <col min="8" max="8" width="27.81640625" customWidth="1"/>
    <col min="9" max="35" width="0" hidden="1" customWidth="1"/>
  </cols>
  <sheetData>
    <row r="2" spans="1:36" x14ac:dyDescent="0.25">
      <c r="A2" s="264"/>
      <c r="B2" s="265"/>
      <c r="C2" s="265"/>
      <c r="D2" s="264"/>
      <c r="E2" s="264"/>
      <c r="F2" s="264"/>
      <c r="G2" s="264"/>
      <c r="H2" s="264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</row>
    <row r="3" spans="1:36" ht="20.25" customHeight="1" x14ac:dyDescent="0.25">
      <c r="A3" s="264"/>
      <c r="B3" s="607" t="s">
        <v>213</v>
      </c>
      <c r="C3" s="607"/>
      <c r="D3" s="607"/>
      <c r="E3" s="607"/>
      <c r="F3" s="607"/>
      <c r="G3" s="607"/>
      <c r="H3" s="607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</row>
    <row r="4" spans="1:36" x14ac:dyDescent="0.25">
      <c r="A4" s="264"/>
      <c r="B4" s="265"/>
      <c r="C4" s="265"/>
      <c r="D4" s="264"/>
      <c r="E4" s="264"/>
      <c r="F4" s="264"/>
      <c r="G4" s="264"/>
      <c r="H4" s="264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</row>
    <row r="5" spans="1:36" x14ac:dyDescent="0.25">
      <c r="A5" s="264"/>
      <c r="B5" s="265"/>
      <c r="C5" s="265"/>
      <c r="D5" s="264"/>
      <c r="E5" s="264"/>
      <c r="F5" s="264"/>
      <c r="G5" s="264"/>
      <c r="H5" s="264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</row>
    <row r="6" spans="1:36" ht="13.5" x14ac:dyDescent="0.25">
      <c r="A6" s="522" t="str">
        <f>REGIDORES!B11</f>
        <v>NOMINA DEL 1 AL 15 DE ENERO DEL 2022</v>
      </c>
      <c r="B6" s="522"/>
      <c r="C6" s="522"/>
      <c r="D6" s="522"/>
      <c r="E6" s="522"/>
      <c r="F6" s="522"/>
      <c r="G6" s="522"/>
      <c r="H6" s="522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</row>
    <row r="7" spans="1:36" ht="13" x14ac:dyDescent="0.25">
      <c r="A7" s="601" t="s">
        <v>279</v>
      </c>
      <c r="B7" s="613" t="s">
        <v>43</v>
      </c>
      <c r="C7" s="613" t="s">
        <v>101</v>
      </c>
      <c r="D7" s="166"/>
      <c r="E7" s="252" t="s">
        <v>277</v>
      </c>
      <c r="F7" s="252" t="s">
        <v>9</v>
      </c>
      <c r="G7" s="613" t="s">
        <v>204</v>
      </c>
      <c r="H7" s="601" t="s">
        <v>100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</row>
    <row r="8" spans="1:36" ht="13" x14ac:dyDescent="0.25">
      <c r="A8" s="602"/>
      <c r="B8" s="614"/>
      <c r="C8" s="614"/>
      <c r="D8" s="252" t="s">
        <v>214</v>
      </c>
      <c r="E8" s="253" t="s">
        <v>44</v>
      </c>
      <c r="F8" s="252" t="s">
        <v>45</v>
      </c>
      <c r="G8" s="614"/>
      <c r="H8" s="602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</row>
    <row r="9" spans="1:36" ht="13" x14ac:dyDescent="0.25">
      <c r="A9" s="603"/>
      <c r="B9" s="615"/>
      <c r="C9" s="615"/>
      <c r="D9" s="252"/>
      <c r="E9" s="252"/>
      <c r="F9" s="252"/>
      <c r="G9" s="615"/>
      <c r="H9" s="603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</row>
    <row r="10" spans="1:36" ht="25" x14ac:dyDescent="0.25">
      <c r="A10" s="166">
        <v>1</v>
      </c>
      <c r="B10" s="219" t="s">
        <v>402</v>
      </c>
      <c r="C10" s="219" t="s">
        <v>215</v>
      </c>
      <c r="D10" s="254"/>
      <c r="E10" s="254">
        <v>15</v>
      </c>
      <c r="F10" s="266">
        <v>92.6</v>
      </c>
      <c r="G10" s="184">
        <f>E10*F10</f>
        <v>1389</v>
      </c>
      <c r="H10" s="184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</row>
    <row r="11" spans="1:36" ht="25" x14ac:dyDescent="0.25">
      <c r="A11" s="166">
        <v>2</v>
      </c>
      <c r="B11" s="219" t="s">
        <v>362</v>
      </c>
      <c r="C11" s="219" t="s">
        <v>216</v>
      </c>
      <c r="D11" s="254"/>
      <c r="E11" s="254">
        <v>15</v>
      </c>
      <c r="F11" s="266">
        <v>133.33000000000001</v>
      </c>
      <c r="G11" s="184">
        <v>2000</v>
      </c>
      <c r="H11" s="184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</row>
    <row r="12" spans="1:36" ht="25" x14ac:dyDescent="0.25">
      <c r="A12" s="166">
        <v>3</v>
      </c>
      <c r="B12" s="219" t="s">
        <v>361</v>
      </c>
      <c r="C12" s="219" t="s">
        <v>292</v>
      </c>
      <c r="D12" s="254"/>
      <c r="E12" s="254">
        <v>15</v>
      </c>
      <c r="F12" s="266">
        <v>86.73</v>
      </c>
      <c r="G12" s="184">
        <v>1301</v>
      </c>
      <c r="H12" s="184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</row>
    <row r="13" spans="1:36" ht="25" x14ac:dyDescent="0.25">
      <c r="A13" s="166">
        <v>4</v>
      </c>
      <c r="B13" s="219" t="s">
        <v>428</v>
      </c>
      <c r="C13" s="157" t="s">
        <v>293</v>
      </c>
      <c r="D13" s="254"/>
      <c r="E13" s="254">
        <v>15</v>
      </c>
      <c r="F13" s="266">
        <v>86.73</v>
      </c>
      <c r="G13" s="184">
        <v>1301</v>
      </c>
      <c r="H13" s="184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</row>
    <row r="14" spans="1:36" ht="25" x14ac:dyDescent="0.25">
      <c r="A14" s="166">
        <v>5</v>
      </c>
      <c r="B14" s="219" t="s">
        <v>360</v>
      </c>
      <c r="C14" s="219" t="s">
        <v>225</v>
      </c>
      <c r="D14" s="254"/>
      <c r="E14" s="254">
        <v>15</v>
      </c>
      <c r="F14" s="266">
        <v>80</v>
      </c>
      <c r="G14" s="184">
        <v>1200</v>
      </c>
      <c r="H14" s="184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</row>
    <row r="15" spans="1:36" ht="25" x14ac:dyDescent="0.25">
      <c r="A15" s="166">
        <v>6</v>
      </c>
      <c r="B15" s="219" t="s">
        <v>424</v>
      </c>
      <c r="C15" s="219" t="s">
        <v>225</v>
      </c>
      <c r="D15" s="254"/>
      <c r="E15" s="254">
        <v>15</v>
      </c>
      <c r="F15" s="266">
        <v>100</v>
      </c>
      <c r="G15" s="184">
        <v>1500</v>
      </c>
      <c r="H15" s="184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</row>
    <row r="16" spans="1:36" ht="25" x14ac:dyDescent="0.25">
      <c r="A16" s="166">
        <v>7</v>
      </c>
      <c r="B16" s="157" t="s">
        <v>454</v>
      </c>
      <c r="C16" s="219" t="s">
        <v>319</v>
      </c>
      <c r="D16" s="254"/>
      <c r="E16" s="254">
        <v>15</v>
      </c>
      <c r="F16" s="266">
        <v>65.39</v>
      </c>
      <c r="G16" s="184">
        <f>E16*F16</f>
        <v>980.85</v>
      </c>
      <c r="H16" s="184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</row>
    <row r="17" spans="1:37" s="138" customFormat="1" ht="14" x14ac:dyDescent="0.3">
      <c r="A17" s="166">
        <v>8</v>
      </c>
      <c r="B17" s="190" t="s">
        <v>408</v>
      </c>
      <c r="C17" s="190" t="s">
        <v>263</v>
      </c>
      <c r="D17" s="166"/>
      <c r="E17" s="254">
        <v>15</v>
      </c>
      <c r="F17" s="267">
        <v>80</v>
      </c>
      <c r="G17" s="268">
        <v>1200</v>
      </c>
      <c r="H17" s="166"/>
      <c r="I17" s="231" t="s">
        <v>264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</row>
    <row r="18" spans="1:37" s="138" customFormat="1" ht="25" x14ac:dyDescent="0.3">
      <c r="A18" s="166">
        <v>9</v>
      </c>
      <c r="B18" s="190" t="s">
        <v>271</v>
      </c>
      <c r="C18" s="190" t="s">
        <v>272</v>
      </c>
      <c r="D18" s="166"/>
      <c r="E18" s="254">
        <v>15</v>
      </c>
      <c r="F18" s="267">
        <v>88.67</v>
      </c>
      <c r="G18" s="268">
        <v>1330</v>
      </c>
      <c r="H18" s="166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</row>
    <row r="19" spans="1:37" s="138" customFormat="1" ht="25" x14ac:dyDescent="0.3">
      <c r="A19" s="166">
        <v>10</v>
      </c>
      <c r="B19" s="190" t="s">
        <v>406</v>
      </c>
      <c r="C19" s="219" t="s">
        <v>314</v>
      </c>
      <c r="D19" s="166"/>
      <c r="E19" s="254">
        <v>15</v>
      </c>
      <c r="F19" s="267">
        <v>64.53</v>
      </c>
      <c r="G19" s="268">
        <v>968</v>
      </c>
      <c r="H19" s="166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</row>
    <row r="20" spans="1:37" x14ac:dyDescent="0.25">
      <c r="A20" s="166">
        <v>11</v>
      </c>
      <c r="B20" s="190" t="s">
        <v>321</v>
      </c>
      <c r="C20" s="190"/>
      <c r="D20" s="166"/>
      <c r="E20" s="166"/>
      <c r="F20" s="166">
        <v>80</v>
      </c>
      <c r="G20" s="186">
        <v>1200</v>
      </c>
      <c r="H20" s="166"/>
      <c r="I20" s="231" t="s">
        <v>264</v>
      </c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</row>
    <row r="21" spans="1:37" ht="13.5" thickBot="1" x14ac:dyDescent="0.3">
      <c r="A21" s="609" t="s">
        <v>68</v>
      </c>
      <c r="B21" s="610"/>
      <c r="C21" s="610"/>
      <c r="D21" s="610"/>
      <c r="E21" s="610"/>
      <c r="F21" s="611"/>
      <c r="G21" s="269">
        <f>SUM(G10:G20)</f>
        <v>14369.85</v>
      </c>
      <c r="H21" s="264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153"/>
    </row>
    <row r="22" spans="1:37" ht="13" thickTop="1" x14ac:dyDescent="0.25">
      <c r="A22" s="264"/>
      <c r="B22" s="265"/>
      <c r="C22" s="265"/>
      <c r="D22" s="264"/>
      <c r="E22" s="264"/>
      <c r="F22" s="264"/>
      <c r="G22" s="264"/>
      <c r="H22" s="264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</row>
    <row r="23" spans="1:37" x14ac:dyDescent="0.25">
      <c r="A23" s="264"/>
      <c r="B23" s="265"/>
      <c r="C23" s="265"/>
      <c r="D23" s="264"/>
      <c r="E23" s="264"/>
      <c r="F23" s="264"/>
      <c r="G23" s="270"/>
      <c r="H23" s="264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</row>
    <row r="24" spans="1:37" ht="13" thickBot="1" x14ac:dyDescent="0.3">
      <c r="A24" s="264"/>
      <c r="B24" s="265"/>
      <c r="C24" s="265"/>
      <c r="D24" s="264"/>
      <c r="E24" s="264"/>
      <c r="F24" s="264"/>
      <c r="G24" s="271"/>
      <c r="H24" s="272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</row>
    <row r="25" spans="1:37" ht="15" customHeight="1" x14ac:dyDescent="0.25">
      <c r="A25" s="612" t="s">
        <v>291</v>
      </c>
      <c r="B25" s="612"/>
      <c r="C25" s="265"/>
      <c r="D25" s="172"/>
      <c r="E25" s="172"/>
      <c r="F25" s="172"/>
      <c r="G25" s="608" t="s">
        <v>320</v>
      </c>
      <c r="H25" s="608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</row>
    <row r="26" spans="1:37" ht="13" x14ac:dyDescent="0.25">
      <c r="A26" s="607" t="s">
        <v>266</v>
      </c>
      <c r="B26" s="607"/>
      <c r="C26" s="265"/>
      <c r="D26" s="264"/>
      <c r="E26" s="264"/>
      <c r="F26" s="264"/>
      <c r="G26" s="607" t="s">
        <v>217</v>
      </c>
      <c r="H26" s="607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</row>
    <row r="27" spans="1:37" x14ac:dyDescent="0.25">
      <c r="A27" s="231"/>
      <c r="B27" s="265"/>
      <c r="C27" s="273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</row>
    <row r="28" spans="1:37" x14ac:dyDescent="0.25">
      <c r="A28" s="231"/>
      <c r="B28" s="265"/>
      <c r="C28" s="273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</row>
    <row r="29" spans="1:37" x14ac:dyDescent="0.25">
      <c r="A29" s="231"/>
      <c r="B29" s="274"/>
      <c r="C29" s="275"/>
      <c r="D29" s="231"/>
      <c r="E29" s="231"/>
      <c r="F29" s="231"/>
      <c r="G29" s="231"/>
      <c r="H29" s="276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</row>
    <row r="30" spans="1:37" ht="15" customHeight="1" x14ac:dyDescent="0.25">
      <c r="A30" s="231"/>
      <c r="B30" s="265"/>
      <c r="C30" s="273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</row>
    <row r="31" spans="1:37" ht="15" customHeight="1" x14ac:dyDescent="0.25">
      <c r="A31" s="231"/>
      <c r="B31" s="265"/>
      <c r="C31" s="273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</row>
    <row r="32" spans="1:37" ht="20.25" customHeight="1" x14ac:dyDescent="0.25">
      <c r="A32" s="231"/>
      <c r="B32" s="265"/>
      <c r="C32" s="273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</row>
    <row r="33" spans="1:36" x14ac:dyDescent="0.25">
      <c r="A33" s="231"/>
      <c r="B33" s="265"/>
      <c r="C33" s="273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</row>
    <row r="34" spans="1:36" hidden="1" x14ac:dyDescent="0.25">
      <c r="A34" s="231"/>
      <c r="B34" s="265"/>
      <c r="C34" s="273"/>
      <c r="D34" s="231"/>
      <c r="E34" s="231"/>
      <c r="F34" s="231"/>
      <c r="G34" s="277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</row>
    <row r="35" spans="1:36" hidden="1" x14ac:dyDescent="0.25">
      <c r="A35" s="231"/>
      <c r="B35" s="265"/>
      <c r="C35" s="273"/>
      <c r="D35" s="231"/>
      <c r="E35" s="231"/>
      <c r="F35" s="231"/>
      <c r="G35" s="277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</row>
    <row r="36" spans="1:36" hidden="1" x14ac:dyDescent="0.25">
      <c r="A36" s="231"/>
      <c r="B36" s="265"/>
      <c r="C36" s="273"/>
      <c r="D36" s="231"/>
      <c r="E36" s="231" t="s">
        <v>195</v>
      </c>
      <c r="F36" s="231"/>
      <c r="G36" s="277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</row>
    <row r="37" spans="1:36" hidden="1" x14ac:dyDescent="0.25">
      <c r="A37" s="231"/>
      <c r="B37" s="265"/>
      <c r="C37" s="273"/>
      <c r="D37" s="231"/>
      <c r="E37" s="231" t="s">
        <v>196</v>
      </c>
      <c r="F37" s="231"/>
      <c r="G37" s="277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</row>
    <row r="38" spans="1:36" hidden="1" x14ac:dyDescent="0.25">
      <c r="A38" s="231"/>
      <c r="B38" s="265"/>
      <c r="C38" s="273"/>
      <c r="D38" s="231"/>
      <c r="E38" s="231"/>
      <c r="F38" s="231"/>
      <c r="G38" s="277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</row>
    <row r="39" spans="1:36" hidden="1" x14ac:dyDescent="0.25">
      <c r="A39" s="231"/>
      <c r="B39" s="265"/>
      <c r="C39" s="273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</row>
    <row r="40" spans="1:36" hidden="1" x14ac:dyDescent="0.25">
      <c r="A40" s="231"/>
      <c r="B40" s="265"/>
      <c r="C40" s="273"/>
      <c r="D40" s="231"/>
      <c r="E40" s="231"/>
      <c r="F40" s="231"/>
      <c r="G40" s="277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</row>
    <row r="41" spans="1:36" ht="13" x14ac:dyDescent="0.3">
      <c r="A41" s="231"/>
      <c r="B41" s="273"/>
      <c r="C41" s="273"/>
      <c r="D41" s="173" t="s">
        <v>254</v>
      </c>
      <c r="E41" s="231"/>
      <c r="F41" s="173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</row>
    <row r="42" spans="1:36" x14ac:dyDescent="0.25">
      <c r="A42" s="231"/>
      <c r="B42" s="273"/>
      <c r="C42" s="273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</row>
    <row r="43" spans="1:36" ht="13.5" x14ac:dyDescent="0.25">
      <c r="A43" s="604" t="s">
        <v>254</v>
      </c>
      <c r="B43" s="604"/>
      <c r="C43" s="604"/>
      <c r="D43" s="604"/>
      <c r="E43" s="604"/>
      <c r="F43" s="604"/>
      <c r="G43" s="604"/>
      <c r="H43" s="604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</row>
    <row r="44" spans="1:36" ht="13.5" x14ac:dyDescent="0.3">
      <c r="A44" s="605" t="str">
        <f>REGIDORES!B11</f>
        <v>NOMINA DEL 1 AL 15 DE ENERO DEL 2022</v>
      </c>
      <c r="B44" s="605"/>
      <c r="C44" s="605"/>
      <c r="D44" s="605"/>
      <c r="E44" s="605"/>
      <c r="F44" s="605"/>
      <c r="G44" s="605"/>
      <c r="H44" s="605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</row>
    <row r="45" spans="1:36" ht="13" x14ac:dyDescent="0.3">
      <c r="A45" s="278"/>
      <c r="B45" s="279"/>
      <c r="C45" s="279"/>
      <c r="D45" s="278"/>
      <c r="E45" s="255" t="s">
        <v>277</v>
      </c>
      <c r="F45" s="255" t="s">
        <v>9</v>
      </c>
      <c r="G45" s="256" t="s">
        <v>0</v>
      </c>
      <c r="H45" s="601" t="s">
        <v>100</v>
      </c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</row>
    <row r="46" spans="1:36" ht="13" x14ac:dyDescent="0.3">
      <c r="A46" s="257" t="s">
        <v>279</v>
      </c>
      <c r="B46" s="258" t="s">
        <v>43</v>
      </c>
      <c r="C46" s="258" t="s">
        <v>101</v>
      </c>
      <c r="D46" s="257" t="s">
        <v>214</v>
      </c>
      <c r="E46" s="259" t="s">
        <v>44</v>
      </c>
      <c r="F46" s="257" t="s">
        <v>45</v>
      </c>
      <c r="G46" s="258" t="s">
        <v>6</v>
      </c>
      <c r="H46" s="602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</row>
    <row r="47" spans="1:36" ht="13" x14ac:dyDescent="0.3">
      <c r="A47" s="260"/>
      <c r="B47" s="261"/>
      <c r="C47" s="261"/>
      <c r="D47" s="260"/>
      <c r="E47" s="260"/>
      <c r="F47" s="260"/>
      <c r="G47" s="261" t="s">
        <v>7</v>
      </c>
      <c r="H47" s="603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</row>
    <row r="48" spans="1:36" s="128" customFormat="1" ht="25" x14ac:dyDescent="0.25">
      <c r="A48" s="262">
        <v>1</v>
      </c>
      <c r="B48" s="280" t="s">
        <v>255</v>
      </c>
      <c r="C48" s="280" t="s">
        <v>251</v>
      </c>
      <c r="D48" s="263"/>
      <c r="E48" s="263">
        <v>15</v>
      </c>
      <c r="F48" s="281">
        <v>129.80000000000001</v>
      </c>
      <c r="G48" s="282">
        <v>1947</v>
      </c>
      <c r="H48" s="282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</row>
    <row r="49" spans="1:36" s="128" customFormat="1" ht="31.5" customHeight="1" x14ac:dyDescent="0.25">
      <c r="A49" s="262">
        <v>2</v>
      </c>
      <c r="B49" s="157" t="s">
        <v>337</v>
      </c>
      <c r="C49" s="280" t="s">
        <v>256</v>
      </c>
      <c r="D49" s="263" t="s">
        <v>335</v>
      </c>
      <c r="E49" s="263">
        <v>15</v>
      </c>
      <c r="F49" s="281">
        <v>89.07</v>
      </c>
      <c r="G49" s="282">
        <v>1336</v>
      </c>
      <c r="H49" s="282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</row>
    <row r="50" spans="1:36" s="128" customFormat="1" ht="25" x14ac:dyDescent="0.25">
      <c r="A50" s="262">
        <v>3</v>
      </c>
      <c r="B50" s="157" t="s">
        <v>451</v>
      </c>
      <c r="C50" s="280" t="s">
        <v>257</v>
      </c>
      <c r="D50" s="263" t="s">
        <v>450</v>
      </c>
      <c r="E50" s="263">
        <v>15</v>
      </c>
      <c r="F50" s="281">
        <v>75</v>
      </c>
      <c r="G50" s="282">
        <v>1125</v>
      </c>
      <c r="H50" s="282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</row>
    <row r="51" spans="1:36" s="100" customFormat="1" ht="21.75" customHeight="1" x14ac:dyDescent="0.25">
      <c r="A51" s="299">
        <v>5</v>
      </c>
      <c r="B51" s="157" t="s">
        <v>440</v>
      </c>
      <c r="C51" s="263" t="s">
        <v>223</v>
      </c>
      <c r="D51" s="263" t="s">
        <v>439</v>
      </c>
      <c r="E51" s="263">
        <v>15</v>
      </c>
      <c r="F51" s="281">
        <v>73.33</v>
      </c>
      <c r="G51" s="282">
        <v>1100</v>
      </c>
      <c r="H51" s="300"/>
      <c r="I51" s="284"/>
      <c r="J51" s="284"/>
      <c r="K51" s="284"/>
      <c r="L51" s="284"/>
      <c r="M51" s="284"/>
      <c r="N51" s="283"/>
      <c r="O51" s="285"/>
      <c r="P51" s="283"/>
      <c r="Q51" s="283"/>
      <c r="R51" s="283"/>
      <c r="S51" s="283"/>
      <c r="T51" s="286"/>
      <c r="U51" s="283"/>
      <c r="V51" s="283"/>
      <c r="W51" s="283"/>
      <c r="X51" s="283"/>
      <c r="Y51" s="283"/>
      <c r="Z51" s="287"/>
      <c r="AA51" s="283"/>
      <c r="AB51" s="283"/>
      <c r="AC51" s="283"/>
      <c r="AD51" s="284"/>
      <c r="AE51" s="284"/>
      <c r="AF51" s="288"/>
      <c r="AG51" s="283"/>
      <c r="AH51" s="283">
        <v>2000</v>
      </c>
      <c r="AI51" s="289"/>
      <c r="AJ51" s="225"/>
    </row>
    <row r="52" spans="1:36" s="100" customFormat="1" ht="26.25" customHeight="1" x14ac:dyDescent="0.25">
      <c r="A52" s="299">
        <v>6</v>
      </c>
      <c r="B52" s="157" t="s">
        <v>364</v>
      </c>
      <c r="C52" s="280" t="s">
        <v>270</v>
      </c>
      <c r="D52" s="263" t="s">
        <v>359</v>
      </c>
      <c r="E52" s="263">
        <v>15</v>
      </c>
      <c r="F52" s="281">
        <v>105.33</v>
      </c>
      <c r="G52" s="282">
        <v>1580</v>
      </c>
      <c r="H52" s="300"/>
      <c r="I52" s="284"/>
      <c r="J52" s="284"/>
      <c r="K52" s="284"/>
      <c r="L52" s="284"/>
      <c r="M52" s="284"/>
      <c r="N52" s="283"/>
      <c r="O52" s="285"/>
      <c r="P52" s="283"/>
      <c r="Q52" s="283"/>
      <c r="R52" s="283"/>
      <c r="S52" s="283"/>
      <c r="T52" s="286"/>
      <c r="U52" s="283"/>
      <c r="V52" s="283"/>
      <c r="W52" s="283"/>
      <c r="X52" s="283"/>
      <c r="Y52" s="283"/>
      <c r="Z52" s="287"/>
      <c r="AA52" s="283"/>
      <c r="AB52" s="283"/>
      <c r="AC52" s="283"/>
      <c r="AD52" s="284"/>
      <c r="AE52" s="284"/>
      <c r="AF52" s="288"/>
      <c r="AG52" s="283"/>
      <c r="AH52" s="283">
        <v>1800</v>
      </c>
      <c r="AI52" s="283"/>
      <c r="AJ52" s="225"/>
    </row>
    <row r="53" spans="1:36" s="100" customFormat="1" ht="21" customHeight="1" x14ac:dyDescent="0.25">
      <c r="A53" s="299">
        <v>7</v>
      </c>
      <c r="B53" s="157" t="s">
        <v>411</v>
      </c>
      <c r="C53" s="263" t="s">
        <v>132</v>
      </c>
      <c r="D53" s="263" t="s">
        <v>410</v>
      </c>
      <c r="E53" s="263">
        <v>15</v>
      </c>
      <c r="F53" s="281">
        <v>78.73</v>
      </c>
      <c r="G53" s="282">
        <v>1181</v>
      </c>
      <c r="H53" s="300"/>
      <c r="I53" s="284">
        <v>0</v>
      </c>
      <c r="J53" s="284">
        <v>0</v>
      </c>
      <c r="K53" s="284">
        <v>0</v>
      </c>
      <c r="L53" s="284">
        <v>0</v>
      </c>
      <c r="M53" s="284">
        <v>0</v>
      </c>
      <c r="N53" s="283">
        <f>SUM(G53:M53)</f>
        <v>1181</v>
      </c>
      <c r="O53" s="285"/>
      <c r="P53" s="283">
        <f>IF(F53=47.16,0,IF(F53&gt;47.16,K53*0.5,0))</f>
        <v>0</v>
      </c>
      <c r="Q53" s="283">
        <f>G53+H53+I53+L53+P53+J53</f>
        <v>1181</v>
      </c>
      <c r="R53" s="283">
        <f>VLOOKUP(Q53,TARIFA1,1)</f>
        <v>318.01</v>
      </c>
      <c r="S53" s="283">
        <f>Q53-R53</f>
        <v>862.99</v>
      </c>
      <c r="T53" s="286">
        <f>VLOOKUP(Q53,TARIFA1,3)</f>
        <v>6.4000000000000001E-2</v>
      </c>
      <c r="U53" s="283">
        <f>S53*T53</f>
        <v>55.231360000000002</v>
      </c>
      <c r="V53" s="283">
        <f>VLOOKUP(Q53,TARIFA1,2)</f>
        <v>6.15</v>
      </c>
      <c r="W53" s="283">
        <f>U53+V53</f>
        <v>61.381360000000001</v>
      </c>
      <c r="X53" s="283">
        <f>VLOOKUP(Q53,Credito1,2)</f>
        <v>200.7</v>
      </c>
      <c r="Y53" s="283">
        <f>ROUND(W53-X53,2)</f>
        <v>-139.32</v>
      </c>
      <c r="Z53" s="287"/>
      <c r="AA53" s="283">
        <f>-IF(Y53&gt;0,0,Y53)</f>
        <v>139.32</v>
      </c>
      <c r="AB53" s="283">
        <f>IF(Y53&lt;0,0,Y53)</f>
        <v>0</v>
      </c>
      <c r="AC53" s="283">
        <v>0</v>
      </c>
      <c r="AD53" s="284">
        <v>0</v>
      </c>
      <c r="AE53" s="284">
        <v>0</v>
      </c>
      <c r="AF53" s="288">
        <v>0</v>
      </c>
      <c r="AG53" s="283">
        <f>SUM(AB53:AF53)</f>
        <v>0</v>
      </c>
      <c r="AH53" s="283">
        <v>1800</v>
      </c>
      <c r="AI53" s="283"/>
      <c r="AJ53" s="225"/>
    </row>
    <row r="54" spans="1:36" ht="13.5" thickBot="1" x14ac:dyDescent="0.35">
      <c r="A54" s="294" t="s">
        <v>68</v>
      </c>
      <c r="B54" s="295"/>
      <c r="C54" s="295"/>
      <c r="D54" s="296"/>
      <c r="E54" s="296"/>
      <c r="F54" s="297"/>
      <c r="G54" s="298">
        <f>SUM(G48:G53)</f>
        <v>8269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</row>
    <row r="55" spans="1:36" ht="13" thickTop="1" x14ac:dyDescent="0.25">
      <c r="A55" s="231"/>
      <c r="B55" s="273"/>
      <c r="C55" s="273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</row>
    <row r="56" spans="1:36" x14ac:dyDescent="0.25">
      <c r="A56" s="231"/>
      <c r="B56" s="273"/>
      <c r="C56" s="273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</row>
    <row r="57" spans="1:36" x14ac:dyDescent="0.25">
      <c r="A57" s="231"/>
      <c r="B57" s="273"/>
      <c r="C57" s="273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</row>
    <row r="58" spans="1:36" ht="13" thickBot="1" x14ac:dyDescent="0.3">
      <c r="A58" s="290"/>
      <c r="B58" s="291"/>
      <c r="C58" s="291"/>
      <c r="D58" s="231"/>
      <c r="E58" s="231"/>
      <c r="F58" s="231"/>
      <c r="G58" s="231"/>
      <c r="H58" s="290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90"/>
    </row>
    <row r="59" spans="1:36" ht="15" customHeight="1" x14ac:dyDescent="0.3">
      <c r="A59" s="598" t="s">
        <v>291</v>
      </c>
      <c r="B59" s="598"/>
      <c r="C59" s="598"/>
      <c r="D59" s="231"/>
      <c r="E59" s="231"/>
      <c r="F59" s="231"/>
      <c r="G59" s="231"/>
      <c r="H59" s="600" t="s">
        <v>320</v>
      </c>
      <c r="I59" s="600"/>
      <c r="J59" s="600"/>
      <c r="K59" s="600"/>
      <c r="L59" s="600"/>
      <c r="M59" s="600"/>
      <c r="N59" s="600"/>
      <c r="O59" s="600"/>
      <c r="P59" s="600"/>
      <c r="Q59" s="600"/>
      <c r="R59" s="600"/>
      <c r="S59" s="600"/>
      <c r="T59" s="600"/>
      <c r="U59" s="600"/>
      <c r="V59" s="600"/>
      <c r="W59" s="600"/>
      <c r="X59" s="600"/>
      <c r="Y59" s="600"/>
      <c r="Z59" s="600"/>
      <c r="AA59" s="600"/>
      <c r="AB59" s="600"/>
      <c r="AC59" s="600"/>
      <c r="AD59" s="600"/>
      <c r="AE59" s="600"/>
      <c r="AF59" s="600"/>
      <c r="AG59" s="600"/>
      <c r="AH59" s="600"/>
      <c r="AI59" s="600"/>
      <c r="AJ59" s="600"/>
    </row>
    <row r="60" spans="1:36" ht="20.25" customHeight="1" x14ac:dyDescent="0.25">
      <c r="A60" s="599" t="s">
        <v>266</v>
      </c>
      <c r="B60" s="599"/>
      <c r="C60" s="599"/>
      <c r="D60" s="231"/>
      <c r="E60" s="231"/>
      <c r="F60" s="231"/>
      <c r="G60" s="231"/>
      <c r="H60" s="606" t="s">
        <v>217</v>
      </c>
      <c r="I60" s="606"/>
      <c r="J60" s="606"/>
      <c r="K60" s="606"/>
      <c r="L60" s="606"/>
      <c r="M60" s="606"/>
      <c r="N60" s="606"/>
      <c r="O60" s="606"/>
      <c r="P60" s="606"/>
      <c r="Q60" s="606"/>
      <c r="R60" s="606"/>
      <c r="S60" s="606"/>
      <c r="T60" s="606"/>
      <c r="U60" s="606"/>
      <c r="V60" s="606"/>
      <c r="W60" s="606"/>
      <c r="X60" s="606"/>
      <c r="Y60" s="606"/>
      <c r="Z60" s="606"/>
      <c r="AA60" s="606"/>
      <c r="AB60" s="606"/>
      <c r="AC60" s="606"/>
      <c r="AD60" s="606"/>
      <c r="AE60" s="606"/>
      <c r="AF60" s="606"/>
      <c r="AG60" s="606"/>
      <c r="AH60" s="606"/>
      <c r="AI60" s="606"/>
      <c r="AJ60" s="606"/>
    </row>
    <row r="61" spans="1:36" x14ac:dyDescent="0.25">
      <c r="B61" s="149"/>
      <c r="D61" s="109"/>
      <c r="E61" s="109"/>
      <c r="F61" s="109"/>
      <c r="H61" s="109"/>
      <c r="I61" s="109"/>
    </row>
    <row r="62" spans="1:36" ht="13" thickBot="1" x14ac:dyDescent="0.3">
      <c r="B62" s="149"/>
      <c r="C62" s="150"/>
      <c r="D62" s="124"/>
      <c r="E62" s="109"/>
      <c r="F62" s="109"/>
      <c r="H62" s="109"/>
      <c r="I62" s="129"/>
    </row>
    <row r="63" spans="1:36" ht="15.5" x14ac:dyDescent="0.35">
      <c r="B63" s="149"/>
      <c r="C63" s="151"/>
      <c r="D63" s="109"/>
      <c r="E63" s="109"/>
      <c r="F63" s="109"/>
      <c r="H63" s="109"/>
      <c r="I63" s="123"/>
    </row>
    <row r="64" spans="1:36" ht="15.5" x14ac:dyDescent="0.35">
      <c r="B64" s="149"/>
      <c r="C64" s="151"/>
      <c r="D64" s="109"/>
      <c r="E64" s="109"/>
      <c r="F64" s="109"/>
      <c r="H64" s="109"/>
      <c r="I64" s="123"/>
    </row>
    <row r="65" spans="2:9" ht="15.5" x14ac:dyDescent="0.35">
      <c r="B65" s="149"/>
      <c r="C65" s="151"/>
      <c r="D65" s="109"/>
      <c r="E65" s="109"/>
      <c r="F65" s="109"/>
      <c r="H65" s="109"/>
      <c r="I65" s="123"/>
    </row>
    <row r="66" spans="2:9" ht="15.5" x14ac:dyDescent="0.35">
      <c r="B66" s="149"/>
      <c r="C66" s="151"/>
      <c r="D66" s="109"/>
      <c r="E66" s="109"/>
      <c r="F66" s="109"/>
      <c r="H66" s="109"/>
      <c r="I66" s="123"/>
    </row>
  </sheetData>
  <mergeCells count="19">
    <mergeCell ref="B3:H3"/>
    <mergeCell ref="A6:H6"/>
    <mergeCell ref="G25:H25"/>
    <mergeCell ref="G26:H26"/>
    <mergeCell ref="A21:F21"/>
    <mergeCell ref="A25:B25"/>
    <mergeCell ref="A26:B26"/>
    <mergeCell ref="G7:G9"/>
    <mergeCell ref="B7:B9"/>
    <mergeCell ref="A7:A9"/>
    <mergeCell ref="C7:C9"/>
    <mergeCell ref="A59:C59"/>
    <mergeCell ref="A60:C60"/>
    <mergeCell ref="H59:AJ59"/>
    <mergeCell ref="H7:H9"/>
    <mergeCell ref="H45:H47"/>
    <mergeCell ref="A43:H43"/>
    <mergeCell ref="A44:H44"/>
    <mergeCell ref="H60:AJ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53"/>
  <sheetViews>
    <sheetView showGridLines="0" topLeftCell="A9" zoomScale="86" zoomScaleNormal="86" workbookViewId="0">
      <selection activeCell="E9" sqref="E9"/>
    </sheetView>
  </sheetViews>
  <sheetFormatPr baseColWidth="10" defaultColWidth="11.453125" defaultRowHeight="14" x14ac:dyDescent="0.3"/>
  <cols>
    <col min="1" max="1" width="2.7265625" style="100" customWidth="1"/>
    <col min="2" max="2" width="4.54296875" style="100" customWidth="1"/>
    <col min="3" max="3" width="37.1796875" style="486" customWidth="1"/>
    <col min="4" max="4" width="11.453125" style="464" customWidth="1"/>
    <col min="5" max="5" width="22.81640625" style="336" customWidth="1"/>
    <col min="6" max="6" width="6.54296875" style="336" hidden="1" customWidth="1"/>
    <col min="7" max="7" width="10" style="336" hidden="1" customWidth="1"/>
    <col min="8" max="8" width="12.453125" style="336" customWidth="1"/>
    <col min="9" max="9" width="11.81640625" style="336" hidden="1" customWidth="1"/>
    <col min="10" max="10" width="12.1796875" style="336" hidden="1" customWidth="1"/>
    <col min="11" max="11" width="11.54296875" style="336" hidden="1" customWidth="1"/>
    <col min="12" max="12" width="12" style="336" hidden="1" customWidth="1"/>
    <col min="13" max="13" width="12.7265625" style="336" hidden="1" customWidth="1"/>
    <col min="14" max="14" width="8.453125" style="336" hidden="1" customWidth="1"/>
    <col min="15" max="15" width="12.7265625" style="336" customWidth="1"/>
    <col min="16" max="16" width="8.7265625" style="336" hidden="1" customWidth="1"/>
    <col min="17" max="17" width="13.1796875" style="336" hidden="1" customWidth="1"/>
    <col min="18" max="18" width="12.54296875" style="336" hidden="1" customWidth="1"/>
    <col min="19" max="20" width="11" style="336" hidden="1" customWidth="1"/>
    <col min="21" max="22" width="13.1796875" style="336" hidden="1" customWidth="1"/>
    <col min="23" max="23" width="10.54296875" style="336" hidden="1" customWidth="1"/>
    <col min="24" max="24" width="11.453125" style="336" hidden="1" customWidth="1"/>
    <col min="25" max="25" width="13.1796875" style="336" hidden="1" customWidth="1"/>
    <col min="26" max="26" width="11.54296875" style="336" hidden="1" customWidth="1"/>
    <col min="27" max="27" width="7.7265625" style="336" hidden="1" customWidth="1"/>
    <col min="28" max="28" width="9.7265625" style="336" customWidth="1"/>
    <col min="29" max="29" width="10" style="336" customWidth="1"/>
    <col min="30" max="30" width="11.26953125" style="336" hidden="1" customWidth="1"/>
    <col min="31" max="31" width="10.453125" style="336" hidden="1" customWidth="1"/>
    <col min="32" max="32" width="12.26953125" style="336" hidden="1" customWidth="1"/>
    <col min="33" max="33" width="10.7265625" style="336" hidden="1" customWidth="1"/>
    <col min="34" max="34" width="10" style="336" customWidth="1"/>
    <col min="35" max="35" width="13.7265625" style="133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4" x14ac:dyDescent="0.25">
      <c r="B1" s="159"/>
      <c r="D1" s="456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13"/>
      <c r="AJ1" s="159"/>
      <c r="AK1" s="163"/>
    </row>
    <row r="2" spans="1:44" x14ac:dyDescent="0.25">
      <c r="B2" s="159"/>
      <c r="D2" s="456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13"/>
      <c r="AJ2" s="159"/>
      <c r="AK2" s="163"/>
    </row>
    <row r="3" spans="1:44" x14ac:dyDescent="0.25">
      <c r="B3" s="159"/>
      <c r="D3" s="456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13"/>
      <c r="AJ3" s="159"/>
      <c r="AK3" s="163"/>
    </row>
    <row r="4" spans="1:44" x14ac:dyDescent="0.25">
      <c r="B4" s="159"/>
      <c r="D4" s="456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13"/>
      <c r="AJ4" s="159"/>
      <c r="AK4" s="163"/>
    </row>
    <row r="5" spans="1:44" ht="28.5" customHeight="1" x14ac:dyDescent="0.25">
      <c r="B5" s="180"/>
      <c r="D5" s="616" t="s">
        <v>543</v>
      </c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  <c r="AC5" s="616"/>
      <c r="AD5" s="616"/>
      <c r="AE5" s="616"/>
      <c r="AF5" s="616"/>
      <c r="AG5" s="616"/>
      <c r="AH5" s="616"/>
      <c r="AI5" s="412"/>
      <c r="AJ5" s="180"/>
      <c r="AK5" s="182"/>
    </row>
    <row r="6" spans="1:44" ht="26.25" customHeight="1" x14ac:dyDescent="0.25">
      <c r="B6" s="180"/>
      <c r="D6" s="456"/>
      <c r="E6" s="399"/>
      <c r="F6" s="439" t="s">
        <v>153</v>
      </c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412"/>
      <c r="AJ6" s="180"/>
      <c r="AK6" s="182"/>
    </row>
    <row r="7" spans="1:44" s="99" customFormat="1" ht="13.5" x14ac:dyDescent="0.25">
      <c r="A7" s="100"/>
      <c r="B7" s="595" t="str">
        <f>+REGIDORES!B11</f>
        <v>NOMINA DEL 1 AL 15 DE ENERO DEL 2022</v>
      </c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5"/>
      <c r="AJ7" s="180"/>
      <c r="AK7" s="182"/>
      <c r="AQ7" s="117"/>
      <c r="AR7" s="105" t="s">
        <v>205</v>
      </c>
    </row>
    <row r="8" spans="1:44" s="99" customFormat="1" x14ac:dyDescent="0.25">
      <c r="A8" s="100"/>
      <c r="B8" s="164"/>
      <c r="C8" s="487"/>
      <c r="D8" s="457"/>
      <c r="E8" s="384"/>
      <c r="F8" s="440" t="s">
        <v>277</v>
      </c>
      <c r="G8" s="440" t="s">
        <v>9</v>
      </c>
      <c r="H8" s="617" t="s">
        <v>2</v>
      </c>
      <c r="I8" s="617"/>
      <c r="J8" s="617"/>
      <c r="K8" s="617"/>
      <c r="L8" s="617"/>
      <c r="M8" s="617"/>
      <c r="N8" s="617"/>
      <c r="O8" s="617"/>
      <c r="P8" s="440"/>
      <c r="Q8" s="440" t="s">
        <v>48</v>
      </c>
      <c r="R8" s="440"/>
      <c r="S8" s="617" t="s">
        <v>30</v>
      </c>
      <c r="T8" s="617"/>
      <c r="U8" s="617"/>
      <c r="V8" s="617"/>
      <c r="W8" s="617"/>
      <c r="X8" s="617"/>
      <c r="Y8" s="440" t="s">
        <v>278</v>
      </c>
      <c r="Z8" s="440" t="s">
        <v>31</v>
      </c>
      <c r="AA8" s="440"/>
      <c r="AB8" s="440" t="s">
        <v>87</v>
      </c>
      <c r="AC8" s="617" t="s">
        <v>3</v>
      </c>
      <c r="AD8" s="617"/>
      <c r="AE8" s="617"/>
      <c r="AF8" s="617"/>
      <c r="AG8" s="617"/>
      <c r="AH8" s="617"/>
      <c r="AI8" s="405" t="s">
        <v>0</v>
      </c>
      <c r="AJ8" s="164"/>
      <c r="AK8" s="182"/>
      <c r="AQ8" s="122"/>
      <c r="AR8" s="105" t="s">
        <v>206</v>
      </c>
    </row>
    <row r="9" spans="1:44" s="99" customFormat="1" ht="23" x14ac:dyDescent="0.25">
      <c r="A9" s="100"/>
      <c r="B9" s="162" t="s">
        <v>279</v>
      </c>
      <c r="C9" s="488" t="s">
        <v>43</v>
      </c>
      <c r="D9" s="458" t="s">
        <v>101</v>
      </c>
      <c r="E9" s="440" t="s">
        <v>214</v>
      </c>
      <c r="F9" s="441" t="s">
        <v>44</v>
      </c>
      <c r="G9" s="440" t="s">
        <v>45</v>
      </c>
      <c r="H9" s="440" t="s">
        <v>9</v>
      </c>
      <c r="I9" s="440" t="s">
        <v>46</v>
      </c>
      <c r="J9" s="440" t="s">
        <v>46</v>
      </c>
      <c r="K9" s="440" t="s">
        <v>73</v>
      </c>
      <c r="L9" s="440" t="s">
        <v>48</v>
      </c>
      <c r="M9" s="440" t="s">
        <v>50</v>
      </c>
      <c r="N9" s="440" t="s">
        <v>50</v>
      </c>
      <c r="O9" s="440" t="s">
        <v>53</v>
      </c>
      <c r="P9" s="440"/>
      <c r="Q9" s="440" t="s">
        <v>49</v>
      </c>
      <c r="R9" s="440" t="s">
        <v>56</v>
      </c>
      <c r="S9" s="440" t="s">
        <v>33</v>
      </c>
      <c r="T9" s="440" t="s">
        <v>58</v>
      </c>
      <c r="U9" s="440" t="s">
        <v>60</v>
      </c>
      <c r="V9" s="440" t="s">
        <v>61</v>
      </c>
      <c r="W9" s="440" t="s">
        <v>35</v>
      </c>
      <c r="X9" s="440" t="s">
        <v>31</v>
      </c>
      <c r="Y9" s="440" t="s">
        <v>64</v>
      </c>
      <c r="Z9" s="440" t="s">
        <v>65</v>
      </c>
      <c r="AA9" s="440"/>
      <c r="AB9" s="440" t="s">
        <v>55</v>
      </c>
      <c r="AC9" s="440" t="s">
        <v>4</v>
      </c>
      <c r="AD9" s="440" t="s">
        <v>5</v>
      </c>
      <c r="AE9" s="440" t="s">
        <v>278</v>
      </c>
      <c r="AF9" s="440" t="s">
        <v>74</v>
      </c>
      <c r="AG9" s="440" t="s">
        <v>99</v>
      </c>
      <c r="AH9" s="440" t="s">
        <v>10</v>
      </c>
      <c r="AI9" s="405" t="s">
        <v>6</v>
      </c>
      <c r="AJ9" s="164"/>
      <c r="AK9" s="182"/>
    </row>
    <row r="10" spans="1:44" s="99" customFormat="1" ht="12" customHeight="1" x14ac:dyDescent="0.25">
      <c r="A10" s="100"/>
      <c r="B10" s="162"/>
      <c r="C10" s="488"/>
      <c r="D10" s="458"/>
      <c r="E10" s="440"/>
      <c r="F10" s="440"/>
      <c r="G10" s="440"/>
      <c r="H10" s="440" t="s">
        <v>70</v>
      </c>
      <c r="I10" s="440" t="s">
        <v>76</v>
      </c>
      <c r="J10" s="440" t="s">
        <v>47</v>
      </c>
      <c r="K10" s="440"/>
      <c r="L10" s="440" t="s">
        <v>49</v>
      </c>
      <c r="M10" s="440" t="s">
        <v>51</v>
      </c>
      <c r="N10" s="440" t="s">
        <v>52</v>
      </c>
      <c r="O10" s="440" t="s">
        <v>280</v>
      </c>
      <c r="P10" s="440"/>
      <c r="Q10" s="440" t="s">
        <v>66</v>
      </c>
      <c r="R10" s="440" t="s">
        <v>57</v>
      </c>
      <c r="S10" s="440" t="s">
        <v>34</v>
      </c>
      <c r="T10" s="440" t="s">
        <v>59</v>
      </c>
      <c r="U10" s="440" t="s">
        <v>59</v>
      </c>
      <c r="V10" s="440" t="s">
        <v>62</v>
      </c>
      <c r="W10" s="440" t="s">
        <v>36</v>
      </c>
      <c r="X10" s="440" t="s">
        <v>63</v>
      </c>
      <c r="Y10" s="440" t="s">
        <v>40</v>
      </c>
      <c r="Z10" s="440" t="s">
        <v>538</v>
      </c>
      <c r="AA10" s="440"/>
      <c r="AB10" s="440" t="s">
        <v>86</v>
      </c>
      <c r="AC10" s="440"/>
      <c r="AD10" s="440"/>
      <c r="AE10" s="440" t="s">
        <v>72</v>
      </c>
      <c r="AF10" s="440" t="s">
        <v>75</v>
      </c>
      <c r="AG10" s="440"/>
      <c r="AH10" s="440" t="s">
        <v>67</v>
      </c>
      <c r="AI10" s="405" t="s">
        <v>7</v>
      </c>
      <c r="AJ10" s="162" t="s">
        <v>100</v>
      </c>
      <c r="AK10" s="182"/>
      <c r="AN10" s="105" t="s">
        <v>199</v>
      </c>
    </row>
    <row r="11" spans="1:44" s="99" customFormat="1" ht="28.5" customHeight="1" x14ac:dyDescent="0.3">
      <c r="A11" s="100"/>
      <c r="B11" s="164">
        <v>1</v>
      </c>
      <c r="C11" s="489" t="s">
        <v>517</v>
      </c>
      <c r="D11" s="459" t="s">
        <v>113</v>
      </c>
      <c r="E11" s="369"/>
      <c r="F11" s="362">
        <v>15</v>
      </c>
      <c r="G11" s="363">
        <v>613.53300000000002</v>
      </c>
      <c r="H11" s="364">
        <f>ROUND(F11*G11,2)</f>
        <v>9203</v>
      </c>
      <c r="I11" s="365">
        <v>0</v>
      </c>
      <c r="J11" s="365">
        <v>0</v>
      </c>
      <c r="K11" s="365">
        <v>0</v>
      </c>
      <c r="L11" s="365">
        <v>0</v>
      </c>
      <c r="M11" s="365">
        <v>0</v>
      </c>
      <c r="N11" s="365">
        <v>0</v>
      </c>
      <c r="O11" s="364">
        <f t="shared" ref="O11" si="0">SUM(H11:N11)</f>
        <v>9203</v>
      </c>
      <c r="P11" s="366"/>
      <c r="Q11" s="364">
        <f t="shared" ref="Q11" si="1">IF(G11=47.16,0,IF(G11&gt;47.16,L11*0.5,0))</f>
        <v>0</v>
      </c>
      <c r="R11" s="364">
        <f t="shared" ref="R11" si="2">H11+I11+J11+M11+Q11+K11</f>
        <v>9203</v>
      </c>
      <c r="S11" s="364">
        <f t="shared" ref="S11" si="3">VLOOKUP(R11,TARIFA1,1)</f>
        <v>6602.71</v>
      </c>
      <c r="T11" s="364">
        <f t="shared" ref="T11" si="4">R11-S11</f>
        <v>2600.29</v>
      </c>
      <c r="U11" s="367">
        <f t="shared" ref="U11" si="5">VLOOKUP(R11,TARIFA1,3)</f>
        <v>0.21360000000000001</v>
      </c>
      <c r="V11" s="364">
        <f>T11*U11</f>
        <v>555.42194400000005</v>
      </c>
      <c r="W11" s="364">
        <f t="shared" ref="W11" si="6">VLOOKUP(R11,TARIFA1,2)</f>
        <v>699.3</v>
      </c>
      <c r="X11" s="364">
        <f t="shared" ref="X11" si="7">V11+W11</f>
        <v>1254.7219439999999</v>
      </c>
      <c r="Y11" s="364">
        <f t="shared" ref="Y11" si="8">VLOOKUP(R11,Credito1,2)</f>
        <v>0</v>
      </c>
      <c r="Z11" s="364">
        <f>ROUND(X11-Y11,2)</f>
        <v>1254.72</v>
      </c>
      <c r="AA11" s="368"/>
      <c r="AB11" s="364">
        <f t="shared" ref="AB11" si="9">IF(Y11&lt;0,0,Y11)</f>
        <v>0</v>
      </c>
      <c r="AC11" s="364">
        <f t="shared" ref="AC11" si="10">IF(Z11&lt;0,0,Z11)</f>
        <v>1254.72</v>
      </c>
      <c r="AD11" s="364">
        <v>0</v>
      </c>
      <c r="AE11" s="365">
        <v>0</v>
      </c>
      <c r="AF11" s="365">
        <v>0</v>
      </c>
      <c r="AG11" s="365">
        <v>0</v>
      </c>
      <c r="AH11" s="364">
        <f t="shared" ref="AH11" si="11">SUM(AC11:AG11)</f>
        <v>1254.72</v>
      </c>
      <c r="AI11" s="414">
        <f>O11+AB11-AH11</f>
        <v>7948.28</v>
      </c>
      <c r="AJ11" s="184"/>
      <c r="AK11" s="189"/>
      <c r="AL11" s="101"/>
      <c r="AM11" s="101"/>
    </row>
    <row r="12" spans="1:44" s="99" customFormat="1" ht="28.5" customHeight="1" x14ac:dyDescent="0.3">
      <c r="A12" s="100"/>
      <c r="B12" s="164">
        <v>2</v>
      </c>
      <c r="C12" s="489" t="s">
        <v>519</v>
      </c>
      <c r="D12" s="459" t="s">
        <v>248</v>
      </c>
      <c r="E12" s="369"/>
      <c r="F12" s="362">
        <v>15</v>
      </c>
      <c r="G12" s="363">
        <v>378.6</v>
      </c>
      <c r="H12" s="364">
        <f t="shared" ref="H12:H32" si="12">ROUND(F12*G12,2)</f>
        <v>5679</v>
      </c>
      <c r="I12" s="365">
        <v>0</v>
      </c>
      <c r="J12" s="365">
        <v>0</v>
      </c>
      <c r="K12" s="365">
        <v>0</v>
      </c>
      <c r="L12" s="365">
        <v>0</v>
      </c>
      <c r="M12" s="365">
        <v>0</v>
      </c>
      <c r="N12" s="365">
        <v>0</v>
      </c>
      <c r="O12" s="364">
        <f t="shared" ref="O12:O32" si="13">SUM(H12:N12)</f>
        <v>5679</v>
      </c>
      <c r="P12" s="366"/>
      <c r="Q12" s="364">
        <f t="shared" ref="Q12:Q32" si="14">IF(G12=47.16,0,IF(G12&gt;47.16,L12*0.5,0))</f>
        <v>0</v>
      </c>
      <c r="R12" s="364">
        <f t="shared" ref="R12:R32" si="15">H12+I12+J12+M12+Q12+K12</f>
        <v>5679</v>
      </c>
      <c r="S12" s="364">
        <f t="shared" ref="S12:S32" si="16">VLOOKUP(R12,TARIFA1,1)</f>
        <v>5514.76</v>
      </c>
      <c r="T12" s="364">
        <f t="shared" ref="T12:T32" si="17">R12-S12</f>
        <v>164.23999999999978</v>
      </c>
      <c r="U12" s="367">
        <f t="shared" ref="U12:U32" si="18">VLOOKUP(R12,TARIFA1,3)</f>
        <v>0.1792</v>
      </c>
      <c r="V12" s="364">
        <f t="shared" ref="V12:V32" si="19">T12*U12</f>
        <v>29.431807999999961</v>
      </c>
      <c r="W12" s="364">
        <f t="shared" ref="W12:W32" si="20">VLOOKUP(R12,TARIFA1,2)</f>
        <v>504.3</v>
      </c>
      <c r="X12" s="364">
        <f t="shared" ref="X12:X32" si="21">V12+W12</f>
        <v>533.731808</v>
      </c>
      <c r="Y12" s="364">
        <f t="shared" ref="Y12:Y32" si="22">VLOOKUP(R12,Credito1,2)</f>
        <v>0</v>
      </c>
      <c r="Z12" s="364">
        <f t="shared" ref="Z12:Z32" si="23">ROUND(X12-Y12,2)</f>
        <v>533.73</v>
      </c>
      <c r="AA12" s="368"/>
      <c r="AB12" s="364">
        <f t="shared" ref="AB12:AB32" si="24">IF(Y12&lt;0,0,Y12)</f>
        <v>0</v>
      </c>
      <c r="AC12" s="364">
        <f t="shared" ref="AC12:AC32" si="25">IF(Z12&lt;0,0,Z12)</f>
        <v>533.73</v>
      </c>
      <c r="AD12" s="364">
        <v>0</v>
      </c>
      <c r="AE12" s="365">
        <v>0</v>
      </c>
      <c r="AF12" s="365">
        <v>0</v>
      </c>
      <c r="AG12" s="365">
        <v>0</v>
      </c>
      <c r="AH12" s="364">
        <f t="shared" ref="AH12:AH32" si="26">SUM(AC12:AG12)</f>
        <v>533.73</v>
      </c>
      <c r="AI12" s="414">
        <f t="shared" ref="AI12:AI32" si="27">O12+AB12-AH12</f>
        <v>5145.2700000000004</v>
      </c>
      <c r="AJ12" s="184"/>
      <c r="AK12" s="189"/>
      <c r="AL12" s="101"/>
      <c r="AM12" s="101"/>
    </row>
    <row r="13" spans="1:44" s="99" customFormat="1" ht="28.5" customHeight="1" x14ac:dyDescent="0.3">
      <c r="A13" s="100"/>
      <c r="B13" s="164">
        <v>3</v>
      </c>
      <c r="C13" s="489" t="s">
        <v>520</v>
      </c>
      <c r="D13" s="459" t="s">
        <v>248</v>
      </c>
      <c r="E13" s="369"/>
      <c r="F13" s="362">
        <v>15</v>
      </c>
      <c r="G13" s="363">
        <v>378.6</v>
      </c>
      <c r="H13" s="364">
        <f t="shared" si="12"/>
        <v>5679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4">
        <f t="shared" si="13"/>
        <v>5679</v>
      </c>
      <c r="P13" s="366"/>
      <c r="Q13" s="364">
        <f t="shared" si="14"/>
        <v>0</v>
      </c>
      <c r="R13" s="364">
        <f t="shared" si="15"/>
        <v>5679</v>
      </c>
      <c r="S13" s="364">
        <f t="shared" si="16"/>
        <v>5514.76</v>
      </c>
      <c r="T13" s="364">
        <f t="shared" si="17"/>
        <v>164.23999999999978</v>
      </c>
      <c r="U13" s="367">
        <f t="shared" si="18"/>
        <v>0.1792</v>
      </c>
      <c r="V13" s="364">
        <f t="shared" si="19"/>
        <v>29.431807999999961</v>
      </c>
      <c r="W13" s="364">
        <f t="shared" si="20"/>
        <v>504.3</v>
      </c>
      <c r="X13" s="364">
        <f t="shared" si="21"/>
        <v>533.731808</v>
      </c>
      <c r="Y13" s="364">
        <f t="shared" si="22"/>
        <v>0</v>
      </c>
      <c r="Z13" s="364">
        <f t="shared" si="23"/>
        <v>533.73</v>
      </c>
      <c r="AA13" s="368"/>
      <c r="AB13" s="364">
        <f t="shared" si="24"/>
        <v>0</v>
      </c>
      <c r="AC13" s="364">
        <f t="shared" si="25"/>
        <v>533.73</v>
      </c>
      <c r="AD13" s="364">
        <v>0</v>
      </c>
      <c r="AE13" s="365">
        <v>0</v>
      </c>
      <c r="AF13" s="365">
        <v>0</v>
      </c>
      <c r="AG13" s="365">
        <v>0</v>
      </c>
      <c r="AH13" s="364">
        <f t="shared" si="26"/>
        <v>533.73</v>
      </c>
      <c r="AI13" s="414">
        <f t="shared" si="27"/>
        <v>5145.2700000000004</v>
      </c>
      <c r="AJ13" s="184"/>
      <c r="AK13" s="189"/>
      <c r="AL13" s="101"/>
      <c r="AM13" s="101"/>
    </row>
    <row r="14" spans="1:44" s="99" customFormat="1" ht="28.5" customHeight="1" x14ac:dyDescent="0.3">
      <c r="A14" s="100"/>
      <c r="B14" s="164">
        <v>4</v>
      </c>
      <c r="C14" s="489" t="s">
        <v>518</v>
      </c>
      <c r="D14" s="459" t="s">
        <v>154</v>
      </c>
      <c r="E14" s="369"/>
      <c r="F14" s="362">
        <v>15</v>
      </c>
      <c r="G14" s="363">
        <v>326.93299999999999</v>
      </c>
      <c r="H14" s="364">
        <f t="shared" si="12"/>
        <v>4904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4">
        <f t="shared" si="13"/>
        <v>4904</v>
      </c>
      <c r="P14" s="366"/>
      <c r="Q14" s="364">
        <f t="shared" si="14"/>
        <v>0</v>
      </c>
      <c r="R14" s="364">
        <f t="shared" si="15"/>
        <v>4904</v>
      </c>
      <c r="S14" s="364">
        <f t="shared" si="16"/>
        <v>4744.0600000000004</v>
      </c>
      <c r="T14" s="364">
        <f t="shared" si="17"/>
        <v>159.9399999999996</v>
      </c>
      <c r="U14" s="367">
        <f t="shared" si="18"/>
        <v>0.16</v>
      </c>
      <c r="V14" s="364">
        <f t="shared" si="19"/>
        <v>25.590399999999935</v>
      </c>
      <c r="W14" s="364">
        <f t="shared" si="20"/>
        <v>381</v>
      </c>
      <c r="X14" s="364">
        <f t="shared" si="21"/>
        <v>406.59039999999993</v>
      </c>
      <c r="Y14" s="364">
        <f t="shared" si="22"/>
        <v>0</v>
      </c>
      <c r="Z14" s="364">
        <f t="shared" si="23"/>
        <v>406.59</v>
      </c>
      <c r="AA14" s="368"/>
      <c r="AB14" s="364">
        <f t="shared" si="24"/>
        <v>0</v>
      </c>
      <c r="AC14" s="364">
        <f t="shared" si="25"/>
        <v>406.59</v>
      </c>
      <c r="AD14" s="364">
        <v>0</v>
      </c>
      <c r="AE14" s="365">
        <v>0</v>
      </c>
      <c r="AF14" s="365">
        <v>0</v>
      </c>
      <c r="AG14" s="365">
        <v>0</v>
      </c>
      <c r="AH14" s="364">
        <f t="shared" si="26"/>
        <v>406.59</v>
      </c>
      <c r="AI14" s="414">
        <f t="shared" si="27"/>
        <v>4497.41</v>
      </c>
      <c r="AJ14" s="184"/>
      <c r="AK14" s="189"/>
      <c r="AL14" s="101"/>
      <c r="AM14" s="101"/>
    </row>
    <row r="15" spans="1:44" s="99" customFormat="1" ht="28.5" customHeight="1" x14ac:dyDescent="0.3">
      <c r="A15" s="100"/>
      <c r="B15" s="164">
        <v>5</v>
      </c>
      <c r="C15" s="489" t="s">
        <v>524</v>
      </c>
      <c r="D15" s="459" t="s">
        <v>154</v>
      </c>
      <c r="E15" s="369"/>
      <c r="F15" s="362">
        <v>15</v>
      </c>
      <c r="G15" s="363">
        <v>326.93299999999999</v>
      </c>
      <c r="H15" s="364">
        <f t="shared" si="12"/>
        <v>4904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4">
        <f t="shared" si="13"/>
        <v>4904</v>
      </c>
      <c r="P15" s="366"/>
      <c r="Q15" s="364">
        <f t="shared" si="14"/>
        <v>0</v>
      </c>
      <c r="R15" s="364">
        <f t="shared" si="15"/>
        <v>4904</v>
      </c>
      <c r="S15" s="364">
        <f t="shared" si="16"/>
        <v>4744.0600000000004</v>
      </c>
      <c r="T15" s="364">
        <f t="shared" si="17"/>
        <v>159.9399999999996</v>
      </c>
      <c r="U15" s="367">
        <f t="shared" si="18"/>
        <v>0.16</v>
      </c>
      <c r="V15" s="364">
        <f t="shared" si="19"/>
        <v>25.590399999999935</v>
      </c>
      <c r="W15" s="364">
        <f t="shared" si="20"/>
        <v>381</v>
      </c>
      <c r="X15" s="364">
        <f t="shared" si="21"/>
        <v>406.59039999999993</v>
      </c>
      <c r="Y15" s="364">
        <f t="shared" si="22"/>
        <v>0</v>
      </c>
      <c r="Z15" s="364">
        <f t="shared" si="23"/>
        <v>406.59</v>
      </c>
      <c r="AA15" s="368"/>
      <c r="AB15" s="364">
        <f t="shared" si="24"/>
        <v>0</v>
      </c>
      <c r="AC15" s="364">
        <f t="shared" si="25"/>
        <v>406.59</v>
      </c>
      <c r="AD15" s="364">
        <v>0</v>
      </c>
      <c r="AE15" s="365">
        <v>0</v>
      </c>
      <c r="AF15" s="365">
        <v>0</v>
      </c>
      <c r="AG15" s="365">
        <v>0</v>
      </c>
      <c r="AH15" s="364">
        <f t="shared" si="26"/>
        <v>406.59</v>
      </c>
      <c r="AI15" s="414">
        <f t="shared" si="27"/>
        <v>4497.41</v>
      </c>
      <c r="AJ15" s="184"/>
      <c r="AK15" s="189"/>
      <c r="AL15" s="101"/>
      <c r="AM15" s="101"/>
    </row>
    <row r="16" spans="1:44" s="99" customFormat="1" ht="28.5" customHeight="1" x14ac:dyDescent="0.3">
      <c r="A16" s="100"/>
      <c r="B16" s="164">
        <v>6</v>
      </c>
      <c r="C16" s="489" t="s">
        <v>515</v>
      </c>
      <c r="D16" s="459" t="s">
        <v>154</v>
      </c>
      <c r="E16" s="369"/>
      <c r="F16" s="362">
        <v>15</v>
      </c>
      <c r="G16" s="363">
        <v>326.93299999999999</v>
      </c>
      <c r="H16" s="364">
        <f t="shared" si="12"/>
        <v>4904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4">
        <f t="shared" si="13"/>
        <v>4904</v>
      </c>
      <c r="P16" s="366"/>
      <c r="Q16" s="364">
        <f t="shared" si="14"/>
        <v>0</v>
      </c>
      <c r="R16" s="364">
        <f t="shared" si="15"/>
        <v>4904</v>
      </c>
      <c r="S16" s="364">
        <f t="shared" si="16"/>
        <v>4744.0600000000004</v>
      </c>
      <c r="T16" s="364">
        <f t="shared" si="17"/>
        <v>159.9399999999996</v>
      </c>
      <c r="U16" s="367">
        <f t="shared" si="18"/>
        <v>0.16</v>
      </c>
      <c r="V16" s="364">
        <f t="shared" si="19"/>
        <v>25.590399999999935</v>
      </c>
      <c r="W16" s="364">
        <f t="shared" si="20"/>
        <v>381</v>
      </c>
      <c r="X16" s="364">
        <f t="shared" si="21"/>
        <v>406.59039999999993</v>
      </c>
      <c r="Y16" s="364">
        <f t="shared" si="22"/>
        <v>0</v>
      </c>
      <c r="Z16" s="364">
        <f t="shared" si="23"/>
        <v>406.59</v>
      </c>
      <c r="AA16" s="368"/>
      <c r="AB16" s="364">
        <f t="shared" si="24"/>
        <v>0</v>
      </c>
      <c r="AC16" s="364">
        <f t="shared" si="25"/>
        <v>406.59</v>
      </c>
      <c r="AD16" s="364">
        <v>0</v>
      </c>
      <c r="AE16" s="365">
        <v>0</v>
      </c>
      <c r="AF16" s="365">
        <v>0</v>
      </c>
      <c r="AG16" s="365">
        <v>0</v>
      </c>
      <c r="AH16" s="364">
        <f t="shared" si="26"/>
        <v>406.59</v>
      </c>
      <c r="AI16" s="414">
        <f t="shared" si="27"/>
        <v>4497.41</v>
      </c>
      <c r="AJ16" s="184"/>
      <c r="AK16" s="189"/>
      <c r="AL16" s="101"/>
      <c r="AM16" s="101"/>
    </row>
    <row r="17" spans="1:39" ht="28.5" customHeight="1" x14ac:dyDescent="0.25">
      <c r="B17" s="164">
        <v>7</v>
      </c>
      <c r="C17" s="489" t="s">
        <v>513</v>
      </c>
      <c r="D17" s="459" t="s">
        <v>154</v>
      </c>
      <c r="E17" s="369"/>
      <c r="F17" s="362">
        <v>15</v>
      </c>
      <c r="G17" s="363">
        <v>326.93299999999999</v>
      </c>
      <c r="H17" s="364">
        <f t="shared" si="12"/>
        <v>4904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4">
        <f t="shared" si="13"/>
        <v>4904</v>
      </c>
      <c r="P17" s="366"/>
      <c r="Q17" s="364">
        <f t="shared" si="14"/>
        <v>0</v>
      </c>
      <c r="R17" s="364">
        <f t="shared" si="15"/>
        <v>4904</v>
      </c>
      <c r="S17" s="364">
        <f t="shared" si="16"/>
        <v>4744.0600000000004</v>
      </c>
      <c r="T17" s="364">
        <f t="shared" si="17"/>
        <v>159.9399999999996</v>
      </c>
      <c r="U17" s="367">
        <f t="shared" si="18"/>
        <v>0.16</v>
      </c>
      <c r="V17" s="364">
        <f t="shared" si="19"/>
        <v>25.590399999999935</v>
      </c>
      <c r="W17" s="364">
        <f t="shared" si="20"/>
        <v>381</v>
      </c>
      <c r="X17" s="364">
        <f t="shared" si="21"/>
        <v>406.59039999999993</v>
      </c>
      <c r="Y17" s="364">
        <f t="shared" si="22"/>
        <v>0</v>
      </c>
      <c r="Z17" s="364">
        <f t="shared" si="23"/>
        <v>406.59</v>
      </c>
      <c r="AA17" s="368"/>
      <c r="AB17" s="364">
        <f t="shared" si="24"/>
        <v>0</v>
      </c>
      <c r="AC17" s="364">
        <f t="shared" si="25"/>
        <v>406.59</v>
      </c>
      <c r="AD17" s="364">
        <v>0</v>
      </c>
      <c r="AE17" s="365">
        <v>0</v>
      </c>
      <c r="AF17" s="365">
        <v>0</v>
      </c>
      <c r="AG17" s="365">
        <v>0</v>
      </c>
      <c r="AH17" s="364">
        <f t="shared" si="26"/>
        <v>406.59</v>
      </c>
      <c r="AI17" s="414">
        <f t="shared" si="27"/>
        <v>4497.41</v>
      </c>
      <c r="AJ17" s="184"/>
      <c r="AK17" s="182"/>
    </row>
    <row r="18" spans="1:39" ht="28.5" customHeight="1" x14ac:dyDescent="0.25">
      <c r="B18" s="164">
        <v>8</v>
      </c>
      <c r="C18" s="489" t="s">
        <v>523</v>
      </c>
      <c r="D18" s="459" t="s">
        <v>154</v>
      </c>
      <c r="E18" s="341"/>
      <c r="F18" s="362">
        <v>15</v>
      </c>
      <c r="G18" s="363">
        <v>326.93299999999999</v>
      </c>
      <c r="H18" s="364">
        <f t="shared" si="12"/>
        <v>4904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4">
        <f t="shared" si="13"/>
        <v>4904</v>
      </c>
      <c r="P18" s="366"/>
      <c r="Q18" s="364">
        <f t="shared" si="14"/>
        <v>0</v>
      </c>
      <c r="R18" s="364">
        <f t="shared" si="15"/>
        <v>4904</v>
      </c>
      <c r="S18" s="364">
        <f t="shared" si="16"/>
        <v>4744.0600000000004</v>
      </c>
      <c r="T18" s="364">
        <f t="shared" si="17"/>
        <v>159.9399999999996</v>
      </c>
      <c r="U18" s="367">
        <f t="shared" si="18"/>
        <v>0.16</v>
      </c>
      <c r="V18" s="364">
        <f t="shared" si="19"/>
        <v>25.590399999999935</v>
      </c>
      <c r="W18" s="364">
        <f t="shared" si="20"/>
        <v>381</v>
      </c>
      <c r="X18" s="364">
        <f t="shared" si="21"/>
        <v>406.59039999999993</v>
      </c>
      <c r="Y18" s="364">
        <f t="shared" si="22"/>
        <v>0</v>
      </c>
      <c r="Z18" s="364">
        <f t="shared" si="23"/>
        <v>406.59</v>
      </c>
      <c r="AA18" s="368"/>
      <c r="AB18" s="364">
        <f t="shared" si="24"/>
        <v>0</v>
      </c>
      <c r="AC18" s="364">
        <f t="shared" si="25"/>
        <v>406.59</v>
      </c>
      <c r="AD18" s="364">
        <v>0</v>
      </c>
      <c r="AE18" s="365">
        <v>0</v>
      </c>
      <c r="AF18" s="365">
        <v>0</v>
      </c>
      <c r="AG18" s="365">
        <v>0</v>
      </c>
      <c r="AH18" s="364">
        <f t="shared" si="26"/>
        <v>406.59</v>
      </c>
      <c r="AI18" s="414">
        <f t="shared" si="27"/>
        <v>4497.41</v>
      </c>
      <c r="AJ18" s="184"/>
      <c r="AK18" s="182"/>
    </row>
    <row r="19" spans="1:39" ht="28.5" customHeight="1" x14ac:dyDescent="0.25">
      <c r="B19" s="164">
        <v>9</v>
      </c>
      <c r="C19" s="489" t="s">
        <v>522</v>
      </c>
      <c r="D19" s="459" t="s">
        <v>154</v>
      </c>
      <c r="E19" s="369"/>
      <c r="F19" s="362">
        <v>15</v>
      </c>
      <c r="G19" s="363">
        <v>326.93299999999999</v>
      </c>
      <c r="H19" s="364">
        <f t="shared" si="12"/>
        <v>4904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4">
        <f t="shared" si="13"/>
        <v>4904</v>
      </c>
      <c r="P19" s="366"/>
      <c r="Q19" s="364">
        <f t="shared" si="14"/>
        <v>0</v>
      </c>
      <c r="R19" s="364">
        <f t="shared" si="15"/>
        <v>4904</v>
      </c>
      <c r="S19" s="364">
        <f t="shared" si="16"/>
        <v>4744.0600000000004</v>
      </c>
      <c r="T19" s="364">
        <f t="shared" si="17"/>
        <v>159.9399999999996</v>
      </c>
      <c r="U19" s="367">
        <f t="shared" si="18"/>
        <v>0.16</v>
      </c>
      <c r="V19" s="364">
        <f t="shared" si="19"/>
        <v>25.590399999999935</v>
      </c>
      <c r="W19" s="364">
        <f t="shared" si="20"/>
        <v>381</v>
      </c>
      <c r="X19" s="364">
        <f t="shared" si="21"/>
        <v>406.59039999999993</v>
      </c>
      <c r="Y19" s="364">
        <f t="shared" si="22"/>
        <v>0</v>
      </c>
      <c r="Z19" s="364">
        <f t="shared" si="23"/>
        <v>406.59</v>
      </c>
      <c r="AA19" s="368"/>
      <c r="AB19" s="364">
        <f t="shared" si="24"/>
        <v>0</v>
      </c>
      <c r="AC19" s="364">
        <f t="shared" si="25"/>
        <v>406.59</v>
      </c>
      <c r="AD19" s="364">
        <v>0</v>
      </c>
      <c r="AE19" s="365">
        <v>0</v>
      </c>
      <c r="AF19" s="365">
        <v>0</v>
      </c>
      <c r="AG19" s="365">
        <v>0</v>
      </c>
      <c r="AH19" s="364">
        <f t="shared" si="26"/>
        <v>406.59</v>
      </c>
      <c r="AI19" s="414">
        <f t="shared" si="27"/>
        <v>4497.41</v>
      </c>
      <c r="AJ19" s="184"/>
      <c r="AK19" s="182"/>
    </row>
    <row r="20" spans="1:39" ht="28.5" customHeight="1" x14ac:dyDescent="0.25">
      <c r="B20" s="164">
        <v>10</v>
      </c>
      <c r="C20" s="489" t="s">
        <v>531</v>
      </c>
      <c r="D20" s="459" t="s">
        <v>154</v>
      </c>
      <c r="E20" s="369"/>
      <c r="F20" s="362">
        <v>15</v>
      </c>
      <c r="G20" s="363">
        <v>326.93299999999999</v>
      </c>
      <c r="H20" s="364">
        <f t="shared" si="12"/>
        <v>4904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4">
        <f t="shared" si="13"/>
        <v>4904</v>
      </c>
      <c r="P20" s="366"/>
      <c r="Q20" s="364">
        <f t="shared" si="14"/>
        <v>0</v>
      </c>
      <c r="R20" s="364">
        <f t="shared" si="15"/>
        <v>4904</v>
      </c>
      <c r="S20" s="364">
        <f t="shared" si="16"/>
        <v>4744.0600000000004</v>
      </c>
      <c r="T20" s="364">
        <f t="shared" si="17"/>
        <v>159.9399999999996</v>
      </c>
      <c r="U20" s="367">
        <f t="shared" si="18"/>
        <v>0.16</v>
      </c>
      <c r="V20" s="364">
        <f t="shared" si="19"/>
        <v>25.590399999999935</v>
      </c>
      <c r="W20" s="364">
        <f t="shared" si="20"/>
        <v>381</v>
      </c>
      <c r="X20" s="364">
        <f t="shared" si="21"/>
        <v>406.59039999999993</v>
      </c>
      <c r="Y20" s="364">
        <f t="shared" si="22"/>
        <v>0</v>
      </c>
      <c r="Z20" s="364">
        <f t="shared" si="23"/>
        <v>406.59</v>
      </c>
      <c r="AA20" s="368"/>
      <c r="AB20" s="364">
        <f t="shared" si="24"/>
        <v>0</v>
      </c>
      <c r="AC20" s="364">
        <f t="shared" si="25"/>
        <v>406.59</v>
      </c>
      <c r="AD20" s="364">
        <v>0</v>
      </c>
      <c r="AE20" s="365">
        <v>0</v>
      </c>
      <c r="AF20" s="365">
        <v>0</v>
      </c>
      <c r="AG20" s="365">
        <v>0</v>
      </c>
      <c r="AH20" s="364">
        <f t="shared" si="26"/>
        <v>406.59</v>
      </c>
      <c r="AI20" s="414">
        <f t="shared" si="27"/>
        <v>4497.41</v>
      </c>
      <c r="AJ20" s="184"/>
      <c r="AK20" s="182"/>
    </row>
    <row r="21" spans="1:39" ht="28.5" customHeight="1" x14ac:dyDescent="0.25">
      <c r="B21" s="164">
        <v>11</v>
      </c>
      <c r="C21" s="489" t="s">
        <v>521</v>
      </c>
      <c r="D21" s="459" t="s">
        <v>154</v>
      </c>
      <c r="E21" s="369"/>
      <c r="F21" s="362">
        <v>15</v>
      </c>
      <c r="G21" s="363">
        <v>326.93299999999999</v>
      </c>
      <c r="H21" s="364">
        <f t="shared" si="12"/>
        <v>4904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4">
        <f t="shared" si="13"/>
        <v>4904</v>
      </c>
      <c r="P21" s="366"/>
      <c r="Q21" s="364">
        <f t="shared" si="14"/>
        <v>0</v>
      </c>
      <c r="R21" s="364">
        <f t="shared" si="15"/>
        <v>4904</v>
      </c>
      <c r="S21" s="364">
        <f t="shared" si="16"/>
        <v>4744.0600000000004</v>
      </c>
      <c r="T21" s="364">
        <f t="shared" si="17"/>
        <v>159.9399999999996</v>
      </c>
      <c r="U21" s="367">
        <f t="shared" si="18"/>
        <v>0.16</v>
      </c>
      <c r="V21" s="364">
        <f t="shared" si="19"/>
        <v>25.590399999999935</v>
      </c>
      <c r="W21" s="364">
        <f t="shared" si="20"/>
        <v>381</v>
      </c>
      <c r="X21" s="364">
        <f t="shared" si="21"/>
        <v>406.59039999999993</v>
      </c>
      <c r="Y21" s="364">
        <f t="shared" si="22"/>
        <v>0</v>
      </c>
      <c r="Z21" s="364">
        <f t="shared" si="23"/>
        <v>406.59</v>
      </c>
      <c r="AA21" s="368"/>
      <c r="AB21" s="364">
        <f t="shared" si="24"/>
        <v>0</v>
      </c>
      <c r="AC21" s="364">
        <f t="shared" si="25"/>
        <v>406.59</v>
      </c>
      <c r="AD21" s="364">
        <v>0</v>
      </c>
      <c r="AE21" s="365">
        <v>0</v>
      </c>
      <c r="AF21" s="365">
        <v>0</v>
      </c>
      <c r="AG21" s="365">
        <v>0</v>
      </c>
      <c r="AH21" s="364">
        <f t="shared" si="26"/>
        <v>406.59</v>
      </c>
      <c r="AI21" s="414">
        <f t="shared" si="27"/>
        <v>4497.41</v>
      </c>
      <c r="AJ21" s="184"/>
      <c r="AK21" s="182"/>
    </row>
    <row r="22" spans="1:39" s="103" customFormat="1" ht="28.5" customHeight="1" x14ac:dyDescent="0.25">
      <c r="B22" s="164">
        <v>12</v>
      </c>
      <c r="C22" s="489" t="s">
        <v>542</v>
      </c>
      <c r="D22" s="459" t="s">
        <v>154</v>
      </c>
      <c r="E22" s="369"/>
      <c r="F22" s="362">
        <v>15</v>
      </c>
      <c r="G22" s="363">
        <v>326.93299999999999</v>
      </c>
      <c r="H22" s="364">
        <f t="shared" si="12"/>
        <v>4904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365">
        <v>0</v>
      </c>
      <c r="O22" s="364">
        <f t="shared" si="13"/>
        <v>4904</v>
      </c>
      <c r="P22" s="366"/>
      <c r="Q22" s="364">
        <f t="shared" si="14"/>
        <v>0</v>
      </c>
      <c r="R22" s="364">
        <f t="shared" si="15"/>
        <v>4904</v>
      </c>
      <c r="S22" s="364">
        <f t="shared" si="16"/>
        <v>4744.0600000000004</v>
      </c>
      <c r="T22" s="364">
        <f t="shared" si="17"/>
        <v>159.9399999999996</v>
      </c>
      <c r="U22" s="367">
        <f t="shared" si="18"/>
        <v>0.16</v>
      </c>
      <c r="V22" s="364">
        <f t="shared" si="19"/>
        <v>25.590399999999935</v>
      </c>
      <c r="W22" s="364">
        <f t="shared" si="20"/>
        <v>381</v>
      </c>
      <c r="X22" s="364">
        <f t="shared" si="21"/>
        <v>406.59039999999993</v>
      </c>
      <c r="Y22" s="364">
        <f t="shared" si="22"/>
        <v>0</v>
      </c>
      <c r="Z22" s="364">
        <f t="shared" si="23"/>
        <v>406.59</v>
      </c>
      <c r="AA22" s="368"/>
      <c r="AB22" s="364">
        <f t="shared" si="24"/>
        <v>0</v>
      </c>
      <c r="AC22" s="364">
        <f t="shared" si="25"/>
        <v>406.59</v>
      </c>
      <c r="AD22" s="364">
        <v>0</v>
      </c>
      <c r="AE22" s="365">
        <v>0</v>
      </c>
      <c r="AF22" s="365">
        <v>0</v>
      </c>
      <c r="AG22" s="365">
        <v>0</v>
      </c>
      <c r="AH22" s="364">
        <f t="shared" si="26"/>
        <v>406.59</v>
      </c>
      <c r="AI22" s="414">
        <f t="shared" si="27"/>
        <v>4497.41</v>
      </c>
      <c r="AJ22" s="184"/>
      <c r="AK22" s="182"/>
    </row>
    <row r="23" spans="1:39" s="105" customFormat="1" ht="28.5" customHeight="1" x14ac:dyDescent="0.3">
      <c r="A23" s="109"/>
      <c r="B23" s="164">
        <v>13</v>
      </c>
      <c r="C23" s="490" t="s">
        <v>529</v>
      </c>
      <c r="D23" s="460" t="s">
        <v>154</v>
      </c>
      <c r="E23" s="369"/>
      <c r="F23" s="385">
        <v>15</v>
      </c>
      <c r="G23" s="386">
        <v>326.93</v>
      </c>
      <c r="H23" s="364">
        <f t="shared" si="12"/>
        <v>4903.95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365">
        <v>0</v>
      </c>
      <c r="O23" s="364">
        <f t="shared" si="13"/>
        <v>4903.95</v>
      </c>
      <c r="P23" s="366"/>
      <c r="Q23" s="364">
        <f t="shared" si="14"/>
        <v>0</v>
      </c>
      <c r="R23" s="364">
        <f t="shared" si="15"/>
        <v>4903.95</v>
      </c>
      <c r="S23" s="364">
        <f t="shared" ref="S23" si="28">VLOOKUP(R23,TARIFA1,1)</f>
        <v>4744.0600000000004</v>
      </c>
      <c r="T23" s="364">
        <f t="shared" si="17"/>
        <v>159.88999999999942</v>
      </c>
      <c r="U23" s="367">
        <f t="shared" ref="U23" si="29">VLOOKUP(R23,TARIFA1,3)</f>
        <v>0.16</v>
      </c>
      <c r="V23" s="364">
        <f t="shared" si="19"/>
        <v>25.582399999999907</v>
      </c>
      <c r="W23" s="364">
        <f t="shared" ref="W23" si="30">VLOOKUP(R23,TARIFA1,2)</f>
        <v>381</v>
      </c>
      <c r="X23" s="364">
        <f t="shared" si="21"/>
        <v>406.58239999999989</v>
      </c>
      <c r="Y23" s="364">
        <f t="shared" ref="Y23" si="31">VLOOKUP(R23,Credito1,2)</f>
        <v>0</v>
      </c>
      <c r="Z23" s="364">
        <f t="shared" si="23"/>
        <v>406.58</v>
      </c>
      <c r="AA23" s="368"/>
      <c r="AB23" s="364">
        <f t="shared" si="24"/>
        <v>0</v>
      </c>
      <c r="AC23" s="364">
        <f t="shared" si="25"/>
        <v>406.58</v>
      </c>
      <c r="AD23" s="364">
        <v>0</v>
      </c>
      <c r="AE23" s="365">
        <v>0</v>
      </c>
      <c r="AF23" s="365">
        <v>0</v>
      </c>
      <c r="AG23" s="365">
        <v>0</v>
      </c>
      <c r="AH23" s="364">
        <f t="shared" si="26"/>
        <v>406.58</v>
      </c>
      <c r="AI23" s="414">
        <f t="shared" si="27"/>
        <v>4497.37</v>
      </c>
      <c r="AJ23" s="184"/>
      <c r="AK23" s="305"/>
      <c r="AL23" s="306"/>
      <c r="AM23" s="306"/>
    </row>
    <row r="24" spans="1:39" s="105" customFormat="1" ht="28.5" customHeight="1" x14ac:dyDescent="0.3">
      <c r="A24" s="103"/>
      <c r="B24" s="164">
        <v>14</v>
      </c>
      <c r="C24" s="489" t="s">
        <v>510</v>
      </c>
      <c r="D24" s="459" t="s">
        <v>154</v>
      </c>
      <c r="E24" s="369"/>
      <c r="F24" s="362">
        <v>15</v>
      </c>
      <c r="G24" s="363">
        <v>326.93299999999999</v>
      </c>
      <c r="H24" s="364">
        <f t="shared" si="12"/>
        <v>4904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4">
        <f t="shared" si="13"/>
        <v>4904</v>
      </c>
      <c r="P24" s="366"/>
      <c r="Q24" s="364">
        <f t="shared" si="14"/>
        <v>0</v>
      </c>
      <c r="R24" s="364">
        <f t="shared" si="15"/>
        <v>4904</v>
      </c>
      <c r="S24" s="364">
        <f t="shared" si="16"/>
        <v>4744.0600000000004</v>
      </c>
      <c r="T24" s="364">
        <f t="shared" si="17"/>
        <v>159.9399999999996</v>
      </c>
      <c r="U24" s="367">
        <f t="shared" si="18"/>
        <v>0.16</v>
      </c>
      <c r="V24" s="364">
        <f t="shared" si="19"/>
        <v>25.590399999999935</v>
      </c>
      <c r="W24" s="364">
        <f t="shared" si="20"/>
        <v>381</v>
      </c>
      <c r="X24" s="364">
        <f t="shared" si="21"/>
        <v>406.59039999999993</v>
      </c>
      <c r="Y24" s="364">
        <f t="shared" si="22"/>
        <v>0</v>
      </c>
      <c r="Z24" s="364">
        <f t="shared" si="23"/>
        <v>406.59</v>
      </c>
      <c r="AA24" s="368"/>
      <c r="AB24" s="364">
        <f t="shared" si="24"/>
        <v>0</v>
      </c>
      <c r="AC24" s="364">
        <f t="shared" si="25"/>
        <v>406.59</v>
      </c>
      <c r="AD24" s="364">
        <v>0</v>
      </c>
      <c r="AE24" s="365">
        <v>0</v>
      </c>
      <c r="AF24" s="365">
        <v>0</v>
      </c>
      <c r="AG24" s="365">
        <v>0</v>
      </c>
      <c r="AH24" s="364">
        <f t="shared" si="26"/>
        <v>406.59</v>
      </c>
      <c r="AI24" s="414">
        <f t="shared" si="27"/>
        <v>4497.41</v>
      </c>
      <c r="AJ24" s="184"/>
      <c r="AK24" s="189"/>
      <c r="AL24" s="104"/>
      <c r="AM24" s="104"/>
    </row>
    <row r="25" spans="1:39" s="105" customFormat="1" ht="28.5" customHeight="1" x14ac:dyDescent="0.3">
      <c r="A25" s="109"/>
      <c r="B25" s="164">
        <v>15</v>
      </c>
      <c r="C25" s="490" t="s">
        <v>532</v>
      </c>
      <c r="D25" s="460" t="s">
        <v>154</v>
      </c>
      <c r="E25" s="369"/>
      <c r="F25" s="385">
        <v>15</v>
      </c>
      <c r="G25" s="386">
        <v>326.93</v>
      </c>
      <c r="H25" s="364">
        <f t="shared" ref="H25" si="32">F25*G25</f>
        <v>4903.95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365">
        <v>0</v>
      </c>
      <c r="O25" s="364">
        <f t="shared" si="13"/>
        <v>4903.95</v>
      </c>
      <c r="P25" s="366"/>
      <c r="Q25" s="364">
        <f t="shared" si="14"/>
        <v>0</v>
      </c>
      <c r="R25" s="364">
        <f t="shared" si="15"/>
        <v>4903.95</v>
      </c>
      <c r="S25" s="364">
        <f t="shared" ref="S25" si="33">VLOOKUP(R25,TARIFA1,1)</f>
        <v>4744.0600000000004</v>
      </c>
      <c r="T25" s="364">
        <f t="shared" si="17"/>
        <v>159.88999999999942</v>
      </c>
      <c r="U25" s="367">
        <f t="shared" ref="U25" si="34">VLOOKUP(R25,TARIFA1,3)</f>
        <v>0.16</v>
      </c>
      <c r="V25" s="364">
        <f t="shared" si="19"/>
        <v>25.582399999999907</v>
      </c>
      <c r="W25" s="364">
        <f t="shared" ref="W25" si="35">VLOOKUP(R25,TARIFA1,2)</f>
        <v>381</v>
      </c>
      <c r="X25" s="364">
        <f t="shared" si="21"/>
        <v>406.58239999999989</v>
      </c>
      <c r="Y25" s="364">
        <f t="shared" ref="Y25" si="36">VLOOKUP(R25,Credito1,2)</f>
        <v>0</v>
      </c>
      <c r="Z25" s="364">
        <f t="shared" si="23"/>
        <v>406.58</v>
      </c>
      <c r="AA25" s="368"/>
      <c r="AB25" s="364">
        <f t="shared" si="24"/>
        <v>0</v>
      </c>
      <c r="AC25" s="364">
        <f t="shared" si="25"/>
        <v>406.58</v>
      </c>
      <c r="AD25" s="364">
        <v>0</v>
      </c>
      <c r="AE25" s="365">
        <v>0</v>
      </c>
      <c r="AF25" s="365">
        <v>0</v>
      </c>
      <c r="AG25" s="365">
        <v>0</v>
      </c>
      <c r="AH25" s="364">
        <f t="shared" si="26"/>
        <v>406.58</v>
      </c>
      <c r="AI25" s="414">
        <f t="shared" si="27"/>
        <v>4497.37</v>
      </c>
      <c r="AJ25" s="184"/>
      <c r="AK25" s="305"/>
      <c r="AL25" s="306"/>
      <c r="AM25" s="306"/>
    </row>
    <row r="26" spans="1:39" s="105" customFormat="1" ht="28.5" customHeight="1" x14ac:dyDescent="0.3">
      <c r="A26" s="109"/>
      <c r="B26" s="164">
        <v>16</v>
      </c>
      <c r="C26" s="490" t="s">
        <v>530</v>
      </c>
      <c r="D26" s="460" t="s">
        <v>154</v>
      </c>
      <c r="E26" s="369"/>
      <c r="F26" s="385">
        <v>15</v>
      </c>
      <c r="G26" s="386">
        <v>326.93</v>
      </c>
      <c r="H26" s="364">
        <f t="shared" ref="H26" si="37">F26*G26</f>
        <v>4903.95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v>0</v>
      </c>
      <c r="O26" s="364">
        <f t="shared" si="13"/>
        <v>4903.95</v>
      </c>
      <c r="P26" s="366"/>
      <c r="Q26" s="364">
        <f t="shared" si="14"/>
        <v>0</v>
      </c>
      <c r="R26" s="364">
        <f t="shared" si="15"/>
        <v>4903.95</v>
      </c>
      <c r="S26" s="364">
        <f t="shared" ref="S26" si="38">VLOOKUP(R26,TARIFA1,1)</f>
        <v>4744.0600000000004</v>
      </c>
      <c r="T26" s="364">
        <f t="shared" si="17"/>
        <v>159.88999999999942</v>
      </c>
      <c r="U26" s="367">
        <f t="shared" ref="U26" si="39">VLOOKUP(R26,TARIFA1,3)</f>
        <v>0.16</v>
      </c>
      <c r="V26" s="364">
        <f t="shared" si="19"/>
        <v>25.582399999999907</v>
      </c>
      <c r="W26" s="364">
        <f t="shared" ref="W26" si="40">VLOOKUP(R26,TARIFA1,2)</f>
        <v>381</v>
      </c>
      <c r="X26" s="364">
        <f t="shared" si="21"/>
        <v>406.58239999999989</v>
      </c>
      <c r="Y26" s="364">
        <f t="shared" ref="Y26" si="41">VLOOKUP(R26,Credito1,2)</f>
        <v>0</v>
      </c>
      <c r="Z26" s="364">
        <f t="shared" si="23"/>
        <v>406.58</v>
      </c>
      <c r="AA26" s="368"/>
      <c r="AB26" s="364">
        <f t="shared" si="24"/>
        <v>0</v>
      </c>
      <c r="AC26" s="364">
        <f t="shared" si="25"/>
        <v>406.58</v>
      </c>
      <c r="AD26" s="364">
        <v>0</v>
      </c>
      <c r="AE26" s="365">
        <v>0</v>
      </c>
      <c r="AF26" s="365">
        <v>0</v>
      </c>
      <c r="AG26" s="365">
        <v>0</v>
      </c>
      <c r="AH26" s="364">
        <f t="shared" si="26"/>
        <v>406.58</v>
      </c>
      <c r="AI26" s="414">
        <f t="shared" si="27"/>
        <v>4497.37</v>
      </c>
      <c r="AJ26" s="184"/>
      <c r="AK26" s="305"/>
      <c r="AL26" s="306"/>
      <c r="AM26" s="306"/>
    </row>
    <row r="27" spans="1:39" s="99" customFormat="1" ht="28.5" customHeight="1" x14ac:dyDescent="0.3">
      <c r="A27" s="100"/>
      <c r="B27" s="164">
        <v>17</v>
      </c>
      <c r="C27" s="489" t="s">
        <v>511</v>
      </c>
      <c r="D27" s="459" t="s">
        <v>154</v>
      </c>
      <c r="E27" s="369"/>
      <c r="F27" s="362">
        <v>15</v>
      </c>
      <c r="G27" s="363">
        <v>326.93299999999999</v>
      </c>
      <c r="H27" s="364">
        <f t="shared" si="12"/>
        <v>4904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4">
        <f t="shared" si="13"/>
        <v>4904</v>
      </c>
      <c r="P27" s="366"/>
      <c r="Q27" s="364">
        <f t="shared" si="14"/>
        <v>0</v>
      </c>
      <c r="R27" s="364">
        <f t="shared" si="15"/>
        <v>4904</v>
      </c>
      <c r="S27" s="364">
        <f t="shared" si="16"/>
        <v>4744.0600000000004</v>
      </c>
      <c r="T27" s="364">
        <f t="shared" si="17"/>
        <v>159.9399999999996</v>
      </c>
      <c r="U27" s="367">
        <f t="shared" si="18"/>
        <v>0.16</v>
      </c>
      <c r="V27" s="364">
        <f t="shared" si="19"/>
        <v>25.590399999999935</v>
      </c>
      <c r="W27" s="364">
        <f t="shared" si="20"/>
        <v>381</v>
      </c>
      <c r="X27" s="364">
        <f t="shared" si="21"/>
        <v>406.59039999999993</v>
      </c>
      <c r="Y27" s="364">
        <f t="shared" si="22"/>
        <v>0</v>
      </c>
      <c r="Z27" s="364">
        <f t="shared" si="23"/>
        <v>406.59</v>
      </c>
      <c r="AA27" s="368"/>
      <c r="AB27" s="364">
        <f t="shared" si="24"/>
        <v>0</v>
      </c>
      <c r="AC27" s="364">
        <f t="shared" si="25"/>
        <v>406.59</v>
      </c>
      <c r="AD27" s="364">
        <v>0</v>
      </c>
      <c r="AE27" s="365">
        <v>0</v>
      </c>
      <c r="AF27" s="365">
        <v>0</v>
      </c>
      <c r="AG27" s="365">
        <v>0</v>
      </c>
      <c r="AH27" s="364">
        <f t="shared" si="26"/>
        <v>406.59</v>
      </c>
      <c r="AI27" s="414">
        <f t="shared" si="27"/>
        <v>4497.41</v>
      </c>
      <c r="AJ27" s="184"/>
      <c r="AK27" s="189"/>
      <c r="AL27" s="101"/>
      <c r="AM27" s="101"/>
    </row>
    <row r="28" spans="1:39" s="105" customFormat="1" ht="28.5" customHeight="1" x14ac:dyDescent="0.3">
      <c r="A28" s="103"/>
      <c r="B28" s="164">
        <v>18</v>
      </c>
      <c r="C28" s="489" t="s">
        <v>227</v>
      </c>
      <c r="D28" s="459" t="s">
        <v>154</v>
      </c>
      <c r="E28" s="369"/>
      <c r="F28" s="362">
        <v>15</v>
      </c>
      <c r="G28" s="363">
        <v>326.93299999999999</v>
      </c>
      <c r="H28" s="364">
        <f t="shared" si="12"/>
        <v>4904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4">
        <f t="shared" si="13"/>
        <v>4904</v>
      </c>
      <c r="P28" s="366"/>
      <c r="Q28" s="364">
        <f t="shared" si="14"/>
        <v>0</v>
      </c>
      <c r="R28" s="364">
        <f t="shared" si="15"/>
        <v>4904</v>
      </c>
      <c r="S28" s="364">
        <f t="shared" si="16"/>
        <v>4744.0600000000004</v>
      </c>
      <c r="T28" s="364">
        <f t="shared" si="17"/>
        <v>159.9399999999996</v>
      </c>
      <c r="U28" s="367">
        <f t="shared" si="18"/>
        <v>0.16</v>
      </c>
      <c r="V28" s="364">
        <f t="shared" si="19"/>
        <v>25.590399999999935</v>
      </c>
      <c r="W28" s="364">
        <f t="shared" si="20"/>
        <v>381</v>
      </c>
      <c r="X28" s="364">
        <f t="shared" si="21"/>
        <v>406.59039999999993</v>
      </c>
      <c r="Y28" s="364">
        <f t="shared" si="22"/>
        <v>0</v>
      </c>
      <c r="Z28" s="364">
        <f t="shared" si="23"/>
        <v>406.59</v>
      </c>
      <c r="AA28" s="368"/>
      <c r="AB28" s="364">
        <f t="shared" si="24"/>
        <v>0</v>
      </c>
      <c r="AC28" s="364">
        <f t="shared" si="25"/>
        <v>406.59</v>
      </c>
      <c r="AD28" s="364">
        <v>0</v>
      </c>
      <c r="AE28" s="365">
        <v>0</v>
      </c>
      <c r="AF28" s="365">
        <v>0</v>
      </c>
      <c r="AG28" s="365">
        <v>0</v>
      </c>
      <c r="AH28" s="364">
        <f t="shared" si="26"/>
        <v>406.59</v>
      </c>
      <c r="AI28" s="414">
        <f t="shared" si="27"/>
        <v>4497.41</v>
      </c>
      <c r="AJ28" s="184"/>
      <c r="AK28" s="189"/>
      <c r="AL28" s="104"/>
      <c r="AM28" s="104"/>
    </row>
    <row r="29" spans="1:39" s="99" customFormat="1" ht="28.5" customHeight="1" x14ac:dyDescent="0.3">
      <c r="A29" s="100"/>
      <c r="B29" s="164">
        <v>19</v>
      </c>
      <c r="C29" s="489" t="s">
        <v>514</v>
      </c>
      <c r="D29" s="459" t="s">
        <v>154</v>
      </c>
      <c r="E29" s="369"/>
      <c r="F29" s="362">
        <v>15</v>
      </c>
      <c r="G29" s="363">
        <v>326.93299999999999</v>
      </c>
      <c r="H29" s="364">
        <f t="shared" si="12"/>
        <v>4904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4">
        <f t="shared" si="13"/>
        <v>4904</v>
      </c>
      <c r="P29" s="366"/>
      <c r="Q29" s="364">
        <f t="shared" si="14"/>
        <v>0</v>
      </c>
      <c r="R29" s="364">
        <f t="shared" si="15"/>
        <v>4904</v>
      </c>
      <c r="S29" s="364">
        <f t="shared" si="16"/>
        <v>4744.0600000000004</v>
      </c>
      <c r="T29" s="364">
        <f t="shared" si="17"/>
        <v>159.9399999999996</v>
      </c>
      <c r="U29" s="367">
        <f t="shared" si="18"/>
        <v>0.16</v>
      </c>
      <c r="V29" s="364">
        <f t="shared" si="19"/>
        <v>25.590399999999935</v>
      </c>
      <c r="W29" s="364">
        <f t="shared" si="20"/>
        <v>381</v>
      </c>
      <c r="X29" s="364">
        <f t="shared" si="21"/>
        <v>406.59039999999993</v>
      </c>
      <c r="Y29" s="364">
        <f t="shared" si="22"/>
        <v>0</v>
      </c>
      <c r="Z29" s="364">
        <f t="shared" si="23"/>
        <v>406.59</v>
      </c>
      <c r="AA29" s="368"/>
      <c r="AB29" s="364">
        <f t="shared" si="24"/>
        <v>0</v>
      </c>
      <c r="AC29" s="364">
        <f t="shared" si="25"/>
        <v>406.59</v>
      </c>
      <c r="AD29" s="364">
        <v>0</v>
      </c>
      <c r="AE29" s="365">
        <v>0</v>
      </c>
      <c r="AF29" s="365">
        <v>0</v>
      </c>
      <c r="AG29" s="365">
        <v>0</v>
      </c>
      <c r="AH29" s="364">
        <f t="shared" si="26"/>
        <v>406.59</v>
      </c>
      <c r="AI29" s="414">
        <f t="shared" si="27"/>
        <v>4497.41</v>
      </c>
      <c r="AJ29" s="184"/>
      <c r="AK29" s="189"/>
      <c r="AL29" s="101"/>
      <c r="AM29" s="101"/>
    </row>
    <row r="30" spans="1:39" s="99" customFormat="1" ht="28.5" customHeight="1" x14ac:dyDescent="0.3">
      <c r="A30" s="100"/>
      <c r="B30" s="164">
        <v>20</v>
      </c>
      <c r="C30" s="489" t="s">
        <v>369</v>
      </c>
      <c r="D30" s="459" t="s">
        <v>154</v>
      </c>
      <c r="E30" s="369"/>
      <c r="F30" s="362">
        <v>15</v>
      </c>
      <c r="G30" s="363">
        <v>200</v>
      </c>
      <c r="H30" s="364">
        <f t="shared" si="12"/>
        <v>3000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4">
        <f t="shared" si="13"/>
        <v>3000</v>
      </c>
      <c r="P30" s="366"/>
      <c r="Q30" s="364">
        <f t="shared" si="14"/>
        <v>0</v>
      </c>
      <c r="R30" s="364">
        <f t="shared" si="15"/>
        <v>3000</v>
      </c>
      <c r="S30" s="364">
        <f t="shared" si="16"/>
        <v>2699.41</v>
      </c>
      <c r="T30" s="364">
        <f t="shared" si="17"/>
        <v>300.59000000000015</v>
      </c>
      <c r="U30" s="367">
        <f t="shared" si="18"/>
        <v>0.10879999999999999</v>
      </c>
      <c r="V30" s="364">
        <f t="shared" si="19"/>
        <v>32.704192000000013</v>
      </c>
      <c r="W30" s="364">
        <f t="shared" si="20"/>
        <v>158.55000000000001</v>
      </c>
      <c r="X30" s="364">
        <f t="shared" si="21"/>
        <v>191.25419200000002</v>
      </c>
      <c r="Y30" s="364">
        <f t="shared" si="22"/>
        <v>145.35</v>
      </c>
      <c r="Z30" s="364">
        <f t="shared" si="23"/>
        <v>45.9</v>
      </c>
      <c r="AA30" s="368"/>
      <c r="AB30" s="364">
        <v>0</v>
      </c>
      <c r="AC30" s="364">
        <f t="shared" si="25"/>
        <v>45.9</v>
      </c>
      <c r="AD30" s="364">
        <v>0</v>
      </c>
      <c r="AE30" s="365">
        <v>0</v>
      </c>
      <c r="AF30" s="365">
        <v>0</v>
      </c>
      <c r="AG30" s="365">
        <v>0</v>
      </c>
      <c r="AH30" s="364">
        <f t="shared" si="26"/>
        <v>45.9</v>
      </c>
      <c r="AI30" s="414">
        <f t="shared" si="27"/>
        <v>2954.1</v>
      </c>
      <c r="AJ30" s="184"/>
      <c r="AK30" s="189"/>
      <c r="AL30" s="101"/>
      <c r="AM30" s="101"/>
    </row>
    <row r="31" spans="1:39" s="99" customFormat="1" ht="28.5" customHeight="1" x14ac:dyDescent="0.3">
      <c r="A31" s="100"/>
      <c r="B31" s="164">
        <v>21</v>
      </c>
      <c r="C31" s="489" t="s">
        <v>516</v>
      </c>
      <c r="D31" s="459" t="s">
        <v>154</v>
      </c>
      <c r="E31" s="369"/>
      <c r="F31" s="362">
        <v>15</v>
      </c>
      <c r="G31" s="363">
        <v>326.93299999999999</v>
      </c>
      <c r="H31" s="364">
        <f t="shared" si="12"/>
        <v>4904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4">
        <f t="shared" si="13"/>
        <v>4904</v>
      </c>
      <c r="P31" s="366"/>
      <c r="Q31" s="364">
        <f t="shared" si="14"/>
        <v>0</v>
      </c>
      <c r="R31" s="364">
        <f t="shared" si="15"/>
        <v>4904</v>
      </c>
      <c r="S31" s="364">
        <f t="shared" si="16"/>
        <v>4744.0600000000004</v>
      </c>
      <c r="T31" s="364">
        <f t="shared" si="17"/>
        <v>159.9399999999996</v>
      </c>
      <c r="U31" s="367">
        <f t="shared" si="18"/>
        <v>0.16</v>
      </c>
      <c r="V31" s="364">
        <f t="shared" si="19"/>
        <v>25.590399999999935</v>
      </c>
      <c r="W31" s="364">
        <f t="shared" si="20"/>
        <v>381</v>
      </c>
      <c r="X31" s="364">
        <f t="shared" si="21"/>
        <v>406.59039999999993</v>
      </c>
      <c r="Y31" s="364">
        <f t="shared" si="22"/>
        <v>0</v>
      </c>
      <c r="Z31" s="364">
        <f t="shared" si="23"/>
        <v>406.59</v>
      </c>
      <c r="AA31" s="368"/>
      <c r="AB31" s="364">
        <f t="shared" si="24"/>
        <v>0</v>
      </c>
      <c r="AC31" s="364">
        <f t="shared" si="25"/>
        <v>406.59</v>
      </c>
      <c r="AD31" s="364">
        <v>0</v>
      </c>
      <c r="AE31" s="365">
        <v>0</v>
      </c>
      <c r="AF31" s="365">
        <v>0</v>
      </c>
      <c r="AG31" s="365">
        <v>0</v>
      </c>
      <c r="AH31" s="364">
        <f t="shared" si="26"/>
        <v>406.59</v>
      </c>
      <c r="AI31" s="414">
        <f t="shared" si="27"/>
        <v>4497.41</v>
      </c>
      <c r="AJ31" s="184"/>
      <c r="AK31" s="189"/>
      <c r="AL31" s="101"/>
      <c r="AM31" s="101"/>
    </row>
    <row r="32" spans="1:39" s="99" customFormat="1" ht="28.5" customHeight="1" x14ac:dyDescent="0.3">
      <c r="A32" s="100"/>
      <c r="B32" s="164">
        <v>22</v>
      </c>
      <c r="C32" s="489" t="s">
        <v>512</v>
      </c>
      <c r="D32" s="459" t="s">
        <v>252</v>
      </c>
      <c r="E32" s="362"/>
      <c r="F32" s="362">
        <v>15</v>
      </c>
      <c r="G32" s="363">
        <v>326.93299999999999</v>
      </c>
      <c r="H32" s="364">
        <f t="shared" si="12"/>
        <v>4904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5">
        <v>0</v>
      </c>
      <c r="O32" s="364">
        <f t="shared" si="13"/>
        <v>4904</v>
      </c>
      <c r="P32" s="366"/>
      <c r="Q32" s="364">
        <f t="shared" si="14"/>
        <v>0</v>
      </c>
      <c r="R32" s="364">
        <f t="shared" si="15"/>
        <v>4904</v>
      </c>
      <c r="S32" s="364">
        <f t="shared" si="16"/>
        <v>4744.0600000000004</v>
      </c>
      <c r="T32" s="364">
        <f t="shared" si="17"/>
        <v>159.9399999999996</v>
      </c>
      <c r="U32" s="367">
        <f t="shared" si="18"/>
        <v>0.16</v>
      </c>
      <c r="V32" s="364">
        <f t="shared" si="19"/>
        <v>25.590399999999935</v>
      </c>
      <c r="W32" s="364">
        <f t="shared" si="20"/>
        <v>381</v>
      </c>
      <c r="X32" s="364">
        <f t="shared" si="21"/>
        <v>406.59039999999993</v>
      </c>
      <c r="Y32" s="364">
        <f t="shared" si="22"/>
        <v>0</v>
      </c>
      <c r="Z32" s="364">
        <f t="shared" si="23"/>
        <v>406.59</v>
      </c>
      <c r="AA32" s="368"/>
      <c r="AB32" s="364">
        <f t="shared" si="24"/>
        <v>0</v>
      </c>
      <c r="AC32" s="364">
        <f t="shared" si="25"/>
        <v>406.59</v>
      </c>
      <c r="AD32" s="364">
        <v>0</v>
      </c>
      <c r="AE32" s="365">
        <v>0</v>
      </c>
      <c r="AF32" s="365">
        <v>0</v>
      </c>
      <c r="AG32" s="365">
        <v>0</v>
      </c>
      <c r="AH32" s="364">
        <f t="shared" si="26"/>
        <v>406.59</v>
      </c>
      <c r="AI32" s="414">
        <f t="shared" si="27"/>
        <v>4497.41</v>
      </c>
      <c r="AJ32" s="184"/>
      <c r="AK32" s="189"/>
      <c r="AL32" s="101"/>
      <c r="AM32" s="101"/>
    </row>
    <row r="33" spans="1:39" s="99" customFormat="1" ht="28.5" customHeight="1" x14ac:dyDescent="0.3">
      <c r="A33" s="100"/>
      <c r="B33" s="164"/>
      <c r="C33" s="489"/>
      <c r="D33" s="459"/>
      <c r="E33" s="369"/>
      <c r="F33" s="362"/>
      <c r="G33" s="363"/>
      <c r="H33" s="364"/>
      <c r="I33" s="365"/>
      <c r="J33" s="365"/>
      <c r="K33" s="365"/>
      <c r="L33" s="365"/>
      <c r="M33" s="365"/>
      <c r="N33" s="365"/>
      <c r="O33" s="364"/>
      <c r="P33" s="366"/>
      <c r="Q33" s="364"/>
      <c r="R33" s="364"/>
      <c r="S33" s="364"/>
      <c r="T33" s="364"/>
      <c r="U33" s="367"/>
      <c r="V33" s="364"/>
      <c r="W33" s="364"/>
      <c r="X33" s="364"/>
      <c r="Y33" s="364"/>
      <c r="Z33" s="364"/>
      <c r="AA33" s="368"/>
      <c r="AB33" s="364"/>
      <c r="AC33" s="364"/>
      <c r="AD33" s="364"/>
      <c r="AE33" s="365"/>
      <c r="AF33" s="365"/>
      <c r="AG33" s="365"/>
      <c r="AH33" s="364"/>
      <c r="AI33" s="414"/>
      <c r="AJ33" s="184"/>
      <c r="AK33" s="189"/>
      <c r="AL33" s="101"/>
      <c r="AM33" s="101"/>
    </row>
    <row r="34" spans="1:39" s="99" customFormat="1" ht="28.5" customHeight="1" x14ac:dyDescent="0.3">
      <c r="A34" s="100"/>
      <c r="B34" s="168"/>
      <c r="C34" s="491"/>
      <c r="D34" s="461"/>
      <c r="E34" s="443"/>
      <c r="F34" s="442"/>
      <c r="G34" s="444"/>
      <c r="H34" s="397"/>
      <c r="I34" s="445"/>
      <c r="J34" s="445"/>
      <c r="K34" s="445"/>
      <c r="L34" s="445"/>
      <c r="M34" s="445"/>
      <c r="N34" s="445"/>
      <c r="O34" s="397"/>
      <c r="P34" s="446"/>
      <c r="Q34" s="397"/>
      <c r="R34" s="397"/>
      <c r="S34" s="397"/>
      <c r="T34" s="397"/>
      <c r="U34" s="447"/>
      <c r="V34" s="397"/>
      <c r="W34" s="397"/>
      <c r="X34" s="397"/>
      <c r="Y34" s="397"/>
      <c r="Z34" s="397"/>
      <c r="AA34" s="448"/>
      <c r="AB34" s="397"/>
      <c r="AC34" s="397"/>
      <c r="AD34" s="397"/>
      <c r="AE34" s="445"/>
      <c r="AF34" s="445"/>
      <c r="AG34" s="445"/>
      <c r="AH34" s="397"/>
      <c r="AI34" s="455"/>
      <c r="AJ34" s="191"/>
      <c r="AK34" s="189"/>
      <c r="AL34" s="101"/>
      <c r="AM34" s="101"/>
    </row>
    <row r="35" spans="1:39" ht="24" customHeight="1" x14ac:dyDescent="0.25">
      <c r="B35" s="168"/>
      <c r="C35" s="492"/>
      <c r="D35" s="462"/>
      <c r="E35" s="449"/>
      <c r="F35" s="449"/>
      <c r="G35" s="449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397"/>
      <c r="AI35" s="426"/>
      <c r="AJ35" s="180"/>
      <c r="AK35" s="182"/>
    </row>
    <row r="36" spans="1:39" ht="24" customHeight="1" thickBot="1" x14ac:dyDescent="0.3">
      <c r="B36" s="590" t="s">
        <v>68</v>
      </c>
      <c r="C36" s="591"/>
      <c r="D36" s="591"/>
      <c r="E36" s="591"/>
      <c r="F36" s="591"/>
      <c r="G36" s="592"/>
      <c r="H36" s="451">
        <f t="shared" ref="H36:AH36" si="42">SUM(H11:H35)</f>
        <v>111832.84999999999</v>
      </c>
      <c r="I36" s="451">
        <f t="shared" si="42"/>
        <v>0</v>
      </c>
      <c r="J36" s="451">
        <f t="shared" si="42"/>
        <v>0</v>
      </c>
      <c r="K36" s="451">
        <f t="shared" si="42"/>
        <v>0</v>
      </c>
      <c r="L36" s="451">
        <f t="shared" si="42"/>
        <v>0</v>
      </c>
      <c r="M36" s="451">
        <f t="shared" si="42"/>
        <v>0</v>
      </c>
      <c r="N36" s="451">
        <f t="shared" si="42"/>
        <v>0</v>
      </c>
      <c r="O36" s="451">
        <f t="shared" si="42"/>
        <v>111832.84999999999</v>
      </c>
      <c r="P36" s="451">
        <f t="shared" si="42"/>
        <v>0</v>
      </c>
      <c r="Q36" s="451">
        <f t="shared" si="42"/>
        <v>0</v>
      </c>
      <c r="R36" s="451">
        <f t="shared" si="42"/>
        <v>111832.84999999999</v>
      </c>
      <c r="S36" s="451">
        <f t="shared" si="42"/>
        <v>105724.71999999999</v>
      </c>
      <c r="T36" s="451">
        <f t="shared" si="42"/>
        <v>6108.1299999999919</v>
      </c>
      <c r="U36" s="451">
        <f t="shared" si="42"/>
        <v>3.5608000000000009</v>
      </c>
      <c r="V36" s="451">
        <f t="shared" si="42"/>
        <v>1107.5929519999988</v>
      </c>
      <c r="W36" s="451">
        <f t="shared" si="42"/>
        <v>8724.4500000000007</v>
      </c>
      <c r="X36" s="451">
        <f t="shared" si="42"/>
        <v>9832.042951999998</v>
      </c>
      <c r="Y36" s="451">
        <f t="shared" si="42"/>
        <v>145.35</v>
      </c>
      <c r="Z36" s="451">
        <f t="shared" si="42"/>
        <v>9686.6700000000019</v>
      </c>
      <c r="AA36" s="451">
        <f t="shared" si="42"/>
        <v>0</v>
      </c>
      <c r="AB36" s="451">
        <f t="shared" si="42"/>
        <v>0</v>
      </c>
      <c r="AC36" s="451">
        <f t="shared" si="42"/>
        <v>9686.6700000000019</v>
      </c>
      <c r="AD36" s="451">
        <f t="shared" si="42"/>
        <v>0</v>
      </c>
      <c r="AE36" s="451">
        <f t="shared" si="42"/>
        <v>0</v>
      </c>
      <c r="AF36" s="451">
        <f t="shared" si="42"/>
        <v>0</v>
      </c>
      <c r="AG36" s="451">
        <f t="shared" si="42"/>
        <v>0</v>
      </c>
      <c r="AH36" s="451">
        <f t="shared" si="42"/>
        <v>9686.6700000000019</v>
      </c>
      <c r="AI36" s="427">
        <f>SUM(AI11:AI33)</f>
        <v>102146.18000000002</v>
      </c>
      <c r="AJ36" s="180"/>
      <c r="AK36" s="182"/>
      <c r="AL36" s="108">
        <f>O36+AB36-AH36</f>
        <v>102146.18</v>
      </c>
    </row>
    <row r="37" spans="1:39" ht="24" customHeight="1" thickTop="1" x14ac:dyDescent="0.25">
      <c r="B37" s="180"/>
      <c r="D37" s="456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412"/>
      <c r="AJ37" s="180"/>
      <c r="AK37" s="182"/>
    </row>
    <row r="38" spans="1:39" ht="14.25" customHeight="1" thickBot="1" x14ac:dyDescent="0.3">
      <c r="B38" s="180"/>
      <c r="C38" s="493"/>
      <c r="D38" s="463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449"/>
      <c r="AC38" s="449"/>
      <c r="AD38" s="398"/>
      <c r="AE38" s="398"/>
      <c r="AF38" s="398"/>
      <c r="AG38" s="398"/>
      <c r="AH38" s="398"/>
      <c r="AI38" s="428"/>
      <c r="AJ38" s="196"/>
      <c r="AK38" s="182"/>
    </row>
    <row r="39" spans="1:39" ht="20.25" customHeight="1" x14ac:dyDescent="0.25">
      <c r="B39" s="180"/>
      <c r="C39" s="532" t="s">
        <v>294</v>
      </c>
      <c r="D39" s="532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C39" s="452"/>
      <c r="AD39" s="453"/>
      <c r="AE39" s="453"/>
      <c r="AF39" s="453"/>
      <c r="AG39" s="453"/>
      <c r="AH39" s="618" t="s">
        <v>295</v>
      </c>
      <c r="AI39" s="618"/>
      <c r="AJ39" s="618"/>
      <c r="AK39" s="182"/>
    </row>
    <row r="40" spans="1:39" ht="18.75" customHeight="1" x14ac:dyDescent="0.3">
      <c r="C40" s="521" t="s">
        <v>325</v>
      </c>
      <c r="D40" s="521"/>
      <c r="AC40" s="454"/>
      <c r="AD40" s="454"/>
      <c r="AE40" s="454"/>
      <c r="AF40" s="454"/>
      <c r="AG40" s="454"/>
      <c r="AH40" s="619" t="s">
        <v>104</v>
      </c>
      <c r="AI40" s="619"/>
      <c r="AJ40" s="619"/>
    </row>
    <row r="41" spans="1:39" x14ac:dyDescent="0.3">
      <c r="AI41" s="353"/>
    </row>
    <row r="42" spans="1:39" x14ac:dyDescent="0.3">
      <c r="AI42" s="353"/>
    </row>
    <row r="43" spans="1:39" x14ac:dyDescent="0.3">
      <c r="AC43" s="338"/>
      <c r="AD43" s="338"/>
      <c r="AE43" s="338"/>
      <c r="AF43" s="338"/>
      <c r="AG43" s="338"/>
      <c r="AH43" s="338"/>
      <c r="AI43" s="354"/>
      <c r="AJ43" s="108"/>
    </row>
    <row r="44" spans="1:39" x14ac:dyDescent="0.3">
      <c r="AC44" s="338"/>
      <c r="AD44" s="338"/>
      <c r="AE44" s="338"/>
      <c r="AF44" s="338"/>
      <c r="AG44" s="338"/>
      <c r="AH44" s="338"/>
      <c r="AI44" s="354"/>
      <c r="AJ44" s="108"/>
    </row>
    <row r="45" spans="1:39" x14ac:dyDescent="0.3">
      <c r="AC45" s="338"/>
      <c r="AD45" s="338"/>
      <c r="AE45" s="338"/>
      <c r="AF45" s="338"/>
      <c r="AG45" s="338"/>
      <c r="AH45" s="338"/>
      <c r="AI45" s="354"/>
    </row>
    <row r="46" spans="1:39" x14ac:dyDescent="0.3">
      <c r="AC46" s="338"/>
      <c r="AD46" s="338"/>
      <c r="AE46" s="338"/>
      <c r="AF46" s="338"/>
      <c r="AG46" s="338"/>
      <c r="AH46" s="338"/>
      <c r="AI46" s="354"/>
    </row>
    <row r="47" spans="1:39" x14ac:dyDescent="0.3">
      <c r="AC47" s="338"/>
      <c r="AD47" s="338"/>
      <c r="AE47" s="338"/>
      <c r="AF47" s="338"/>
      <c r="AG47" s="338"/>
      <c r="AH47" s="338"/>
      <c r="AI47" s="354"/>
    </row>
    <row r="48" spans="1:39" x14ac:dyDescent="0.3">
      <c r="AC48" s="338"/>
      <c r="AD48" s="338"/>
      <c r="AE48" s="338"/>
      <c r="AF48" s="338"/>
      <c r="AG48" s="338"/>
      <c r="AH48" s="338"/>
      <c r="AI48" s="354">
        <f>+AI43+PROT.CIVIL!AI43</f>
        <v>0</v>
      </c>
    </row>
    <row r="49" spans="29:35" x14ac:dyDescent="0.3">
      <c r="AC49" s="338"/>
      <c r="AD49" s="338"/>
      <c r="AE49" s="338"/>
      <c r="AF49" s="338"/>
      <c r="AG49" s="338"/>
      <c r="AH49" s="338"/>
      <c r="AI49" s="429"/>
    </row>
    <row r="50" spans="29:35" x14ac:dyDescent="0.3">
      <c r="AC50" s="338" t="s">
        <v>197</v>
      </c>
      <c r="AD50" s="338"/>
      <c r="AE50" s="338"/>
      <c r="AF50" s="338"/>
      <c r="AG50" s="338"/>
      <c r="AH50" s="338"/>
      <c r="AI50" s="354">
        <f>+AI44+PROT.CIVIL!AI40</f>
        <v>0</v>
      </c>
    </row>
    <row r="51" spans="29:35" x14ac:dyDescent="0.3">
      <c r="AC51" s="338" t="s">
        <v>198</v>
      </c>
      <c r="AD51" s="338"/>
      <c r="AE51" s="338"/>
      <c r="AF51" s="338"/>
      <c r="AG51" s="338"/>
      <c r="AH51" s="338"/>
      <c r="AI51" s="354">
        <f>+AI45+PROT.CIVIL!AI41</f>
        <v>0</v>
      </c>
    </row>
    <row r="52" spans="29:35" x14ac:dyDescent="0.3">
      <c r="AC52" s="338"/>
      <c r="AD52" s="338"/>
      <c r="AE52" s="338"/>
      <c r="AF52" s="338"/>
      <c r="AG52" s="338"/>
      <c r="AH52" s="338"/>
      <c r="AI52" s="354">
        <f>+AI50+AI51</f>
        <v>0</v>
      </c>
    </row>
    <row r="53" spans="29:35" x14ac:dyDescent="0.3">
      <c r="AI53" s="353"/>
    </row>
  </sheetData>
  <mergeCells count="10">
    <mergeCell ref="D5:AH5"/>
    <mergeCell ref="C39:D39"/>
    <mergeCell ref="C40:D40"/>
    <mergeCell ref="B7:AI7"/>
    <mergeCell ref="H8:O8"/>
    <mergeCell ref="S8:X8"/>
    <mergeCell ref="AC8:AH8"/>
    <mergeCell ref="B36:G36"/>
    <mergeCell ref="AH39:AJ39"/>
    <mergeCell ref="AH40:AJ40"/>
  </mergeCells>
  <pageMargins left="0.39370078740157483" right="0.39370078740157483" top="0.59055118110236227" bottom="0.59055118110236227" header="0.19685039370078741" footer="0.31496062992125984"/>
  <pageSetup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45"/>
  <sheetViews>
    <sheetView showGridLines="0" tabSelected="1" topLeftCell="A10" zoomScale="87" zoomScaleNormal="87" workbookViewId="0">
      <selection activeCell="E10" sqref="E10"/>
    </sheetView>
  </sheetViews>
  <sheetFormatPr baseColWidth="10" defaultColWidth="11.453125" defaultRowHeight="15.5" x14ac:dyDescent="0.25"/>
  <cols>
    <col min="1" max="1" width="2.7265625" style="100" customWidth="1"/>
    <col min="2" max="2" width="4.54296875" style="100" customWidth="1"/>
    <col min="3" max="3" width="45.7265625" style="465" customWidth="1"/>
    <col min="4" max="4" width="16.54296875" style="336" customWidth="1"/>
    <col min="5" max="5" width="21" style="336" customWidth="1"/>
    <col min="6" max="6" width="6.54296875" style="336" hidden="1" customWidth="1"/>
    <col min="7" max="7" width="10" style="336" hidden="1" customWidth="1"/>
    <col min="8" max="8" width="13.1796875" style="336" customWidth="1"/>
    <col min="9" max="9" width="11.81640625" style="336" hidden="1" customWidth="1"/>
    <col min="10" max="10" width="12.1796875" style="336" hidden="1" customWidth="1"/>
    <col min="11" max="11" width="11.54296875" style="336" hidden="1" customWidth="1"/>
    <col min="12" max="12" width="12" style="336" hidden="1" customWidth="1"/>
    <col min="13" max="13" width="12.7265625" style="336" hidden="1" customWidth="1"/>
    <col min="14" max="14" width="7.1796875" style="336" hidden="1" customWidth="1"/>
    <col min="15" max="15" width="12.81640625" style="336" customWidth="1"/>
    <col min="16" max="16" width="8.54296875" style="336" hidden="1" customWidth="1"/>
    <col min="17" max="17" width="12.453125" style="336" hidden="1" customWidth="1"/>
    <col min="18" max="18" width="11.1796875" style="336" hidden="1" customWidth="1"/>
    <col min="19" max="19" width="10.7265625" style="336" hidden="1" customWidth="1"/>
    <col min="20" max="20" width="11.26953125" style="336" hidden="1" customWidth="1"/>
    <col min="21" max="21" width="10.54296875" style="336" hidden="1" customWidth="1"/>
    <col min="22" max="22" width="11.81640625" style="336" hidden="1" customWidth="1"/>
    <col min="23" max="23" width="10.453125" style="336" hidden="1" customWidth="1"/>
    <col min="24" max="24" width="11.453125" style="336" hidden="1" customWidth="1"/>
    <col min="25" max="25" width="8.54296875" style="336" hidden="1" customWidth="1"/>
    <col min="26" max="26" width="10.81640625" style="336" hidden="1" customWidth="1"/>
    <col min="27" max="27" width="8.54296875" style="336" hidden="1" customWidth="1"/>
    <col min="28" max="28" width="10.54296875" style="336" customWidth="1"/>
    <col min="29" max="29" width="9.7265625" style="336" customWidth="1"/>
    <col min="30" max="30" width="11.26953125" style="336" hidden="1" customWidth="1"/>
    <col min="31" max="31" width="10.453125" style="336" hidden="1" customWidth="1"/>
    <col min="32" max="32" width="12.26953125" style="336" hidden="1" customWidth="1"/>
    <col min="33" max="33" width="10.7265625" style="336" hidden="1" customWidth="1"/>
    <col min="34" max="34" width="10.1796875" style="336" customWidth="1"/>
    <col min="35" max="35" width="13.269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5" x14ac:dyDescent="0.25">
      <c r="A1" s="103"/>
      <c r="B1" s="160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160"/>
      <c r="AJ1" s="160"/>
      <c r="AK1" s="175"/>
    </row>
    <row r="2" spans="1:45" x14ac:dyDescent="0.25">
      <c r="A2" s="103"/>
      <c r="B2" s="160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160"/>
      <c r="AJ2" s="160"/>
      <c r="AK2" s="175"/>
    </row>
    <row r="3" spans="1:45" x14ac:dyDescent="0.25">
      <c r="A3" s="103"/>
      <c r="B3" s="160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160"/>
      <c r="AJ3" s="160"/>
      <c r="AK3" s="175"/>
    </row>
    <row r="4" spans="1:45" x14ac:dyDescent="0.25">
      <c r="A4" s="103"/>
      <c r="B4" s="160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160"/>
      <c r="AJ4" s="160"/>
      <c r="AK4" s="175"/>
    </row>
    <row r="5" spans="1:45" x14ac:dyDescent="0.25">
      <c r="A5" s="103"/>
      <c r="B5" s="160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160"/>
      <c r="AJ5" s="160"/>
      <c r="AK5" s="175"/>
    </row>
    <row r="6" spans="1:45" ht="26.25" customHeight="1" x14ac:dyDescent="0.25">
      <c r="A6" s="103"/>
      <c r="B6" s="160"/>
      <c r="D6" s="620" t="s">
        <v>155</v>
      </c>
      <c r="E6" s="620"/>
      <c r="F6" s="620"/>
      <c r="G6" s="620"/>
      <c r="H6" s="620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160"/>
      <c r="AJ6" s="160"/>
      <c r="AK6" s="175"/>
    </row>
    <row r="7" spans="1:45" x14ac:dyDescent="0.25">
      <c r="A7" s="103"/>
      <c r="B7" s="160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160"/>
      <c r="AJ7" s="160"/>
      <c r="AK7" s="175"/>
    </row>
    <row r="8" spans="1:45" s="99" customFormat="1" ht="13" x14ac:dyDescent="0.25">
      <c r="A8" s="103"/>
      <c r="B8" s="621" t="str">
        <f>+REGIDORES!B11</f>
        <v>NOMINA DEL 1 AL 15 DE ENERO DEL 2022</v>
      </c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1"/>
      <c r="AF8" s="621"/>
      <c r="AG8" s="621"/>
      <c r="AH8" s="621"/>
      <c r="AI8" s="621"/>
      <c r="AJ8" s="160"/>
      <c r="AK8" s="175"/>
    </row>
    <row r="9" spans="1:45" s="99" customFormat="1" x14ac:dyDescent="0.25">
      <c r="A9" s="103"/>
      <c r="B9" s="158"/>
      <c r="C9" s="466"/>
      <c r="D9" s="471"/>
      <c r="E9" s="471"/>
      <c r="F9" s="440" t="s">
        <v>277</v>
      </c>
      <c r="G9" s="440" t="s">
        <v>9</v>
      </c>
      <c r="H9" s="617" t="s">
        <v>2</v>
      </c>
      <c r="I9" s="617"/>
      <c r="J9" s="617"/>
      <c r="K9" s="617"/>
      <c r="L9" s="617"/>
      <c r="M9" s="617"/>
      <c r="N9" s="617"/>
      <c r="O9" s="617"/>
      <c r="P9" s="440"/>
      <c r="Q9" s="440" t="s">
        <v>48</v>
      </c>
      <c r="R9" s="440"/>
      <c r="S9" s="617" t="s">
        <v>30</v>
      </c>
      <c r="T9" s="617"/>
      <c r="U9" s="617"/>
      <c r="V9" s="617"/>
      <c r="W9" s="617"/>
      <c r="X9" s="617"/>
      <c r="Y9" s="440" t="s">
        <v>278</v>
      </c>
      <c r="Z9" s="440" t="s">
        <v>31</v>
      </c>
      <c r="AA9" s="440"/>
      <c r="AB9" s="440" t="s">
        <v>87</v>
      </c>
      <c r="AC9" s="617" t="s">
        <v>289</v>
      </c>
      <c r="AD9" s="617"/>
      <c r="AE9" s="617"/>
      <c r="AF9" s="617"/>
      <c r="AG9" s="617"/>
      <c r="AH9" s="617"/>
      <c r="AI9" s="162" t="s">
        <v>0</v>
      </c>
      <c r="AJ9" s="158"/>
      <c r="AK9" s="175"/>
      <c r="AR9" s="117"/>
      <c r="AS9" s="105" t="s">
        <v>205</v>
      </c>
    </row>
    <row r="10" spans="1:45" s="99" customFormat="1" x14ac:dyDescent="0.25">
      <c r="A10" s="103"/>
      <c r="B10" s="162" t="s">
        <v>42</v>
      </c>
      <c r="C10" s="313" t="s">
        <v>43</v>
      </c>
      <c r="D10" s="440" t="s">
        <v>101</v>
      </c>
      <c r="E10" s="440" t="s">
        <v>214</v>
      </c>
      <c r="F10" s="441" t="s">
        <v>44</v>
      </c>
      <c r="G10" s="440" t="s">
        <v>45</v>
      </c>
      <c r="H10" s="440" t="s">
        <v>9</v>
      </c>
      <c r="I10" s="440" t="s">
        <v>46</v>
      </c>
      <c r="J10" s="440" t="s">
        <v>46</v>
      </c>
      <c r="K10" s="440" t="s">
        <v>73</v>
      </c>
      <c r="L10" s="440" t="s">
        <v>48</v>
      </c>
      <c r="M10" s="440" t="s">
        <v>50</v>
      </c>
      <c r="N10" s="440" t="s">
        <v>50</v>
      </c>
      <c r="O10" s="440" t="s">
        <v>53</v>
      </c>
      <c r="P10" s="440"/>
      <c r="Q10" s="440" t="s">
        <v>49</v>
      </c>
      <c r="R10" s="440" t="s">
        <v>56</v>
      </c>
      <c r="S10" s="440" t="s">
        <v>33</v>
      </c>
      <c r="T10" s="440" t="s">
        <v>58</v>
      </c>
      <c r="U10" s="440" t="s">
        <v>60</v>
      </c>
      <c r="V10" s="440" t="s">
        <v>61</v>
      </c>
      <c r="W10" s="440" t="s">
        <v>35</v>
      </c>
      <c r="X10" s="440" t="s">
        <v>31</v>
      </c>
      <c r="Y10" s="440" t="s">
        <v>64</v>
      </c>
      <c r="Z10" s="440" t="s">
        <v>65</v>
      </c>
      <c r="AA10" s="440"/>
      <c r="AB10" s="440" t="s">
        <v>55</v>
      </c>
      <c r="AC10" s="440" t="s">
        <v>4</v>
      </c>
      <c r="AD10" s="440" t="s">
        <v>5</v>
      </c>
      <c r="AE10" s="440" t="s">
        <v>278</v>
      </c>
      <c r="AF10" s="440" t="s">
        <v>74</v>
      </c>
      <c r="AG10" s="440" t="s">
        <v>99</v>
      </c>
      <c r="AH10" s="440" t="s">
        <v>10</v>
      </c>
      <c r="AI10" s="162" t="s">
        <v>6</v>
      </c>
      <c r="AJ10" s="158"/>
      <c r="AK10" s="175"/>
      <c r="AR10" s="122"/>
      <c r="AS10" s="105" t="s">
        <v>206</v>
      </c>
    </row>
    <row r="11" spans="1:45" s="99" customFormat="1" ht="12" customHeight="1" x14ac:dyDescent="0.25">
      <c r="A11" s="103"/>
      <c r="B11" s="162"/>
      <c r="C11" s="313"/>
      <c r="D11" s="440"/>
      <c r="E11" s="440"/>
      <c r="F11" s="440"/>
      <c r="G11" s="440"/>
      <c r="H11" s="440" t="s">
        <v>70</v>
      </c>
      <c r="I11" s="440" t="s">
        <v>76</v>
      </c>
      <c r="J11" s="440" t="s">
        <v>47</v>
      </c>
      <c r="K11" s="440"/>
      <c r="L11" s="440" t="s">
        <v>49</v>
      </c>
      <c r="M11" s="440" t="s">
        <v>51</v>
      </c>
      <c r="N11" s="440" t="s">
        <v>52</v>
      </c>
      <c r="O11" s="440" t="s">
        <v>280</v>
      </c>
      <c r="P11" s="440"/>
      <c r="Q11" s="440" t="s">
        <v>66</v>
      </c>
      <c r="R11" s="440" t="s">
        <v>57</v>
      </c>
      <c r="S11" s="440" t="s">
        <v>34</v>
      </c>
      <c r="T11" s="440" t="s">
        <v>59</v>
      </c>
      <c r="U11" s="440" t="s">
        <v>59</v>
      </c>
      <c r="V11" s="440" t="s">
        <v>62</v>
      </c>
      <c r="W11" s="440" t="s">
        <v>36</v>
      </c>
      <c r="X11" s="440" t="s">
        <v>63</v>
      </c>
      <c r="Y11" s="440" t="s">
        <v>40</v>
      </c>
      <c r="Z11" s="440" t="s">
        <v>538</v>
      </c>
      <c r="AA11" s="440"/>
      <c r="AB11" s="440" t="s">
        <v>86</v>
      </c>
      <c r="AC11" s="440"/>
      <c r="AD11" s="440"/>
      <c r="AE11" s="440" t="s">
        <v>72</v>
      </c>
      <c r="AF11" s="440" t="s">
        <v>75</v>
      </c>
      <c r="AG11" s="440"/>
      <c r="AH11" s="440" t="s">
        <v>290</v>
      </c>
      <c r="AI11" s="162" t="s">
        <v>7</v>
      </c>
      <c r="AJ11" s="162" t="s">
        <v>100</v>
      </c>
      <c r="AK11" s="175"/>
      <c r="AN11" s="105" t="s">
        <v>199</v>
      </c>
    </row>
    <row r="12" spans="1:45" s="99" customFormat="1" ht="18" customHeight="1" x14ac:dyDescent="0.3">
      <c r="A12" s="103"/>
      <c r="B12" s="164">
        <v>1</v>
      </c>
      <c r="C12" s="467" t="s">
        <v>412</v>
      </c>
      <c r="D12" s="472" t="s">
        <v>113</v>
      </c>
      <c r="E12" s="473"/>
      <c r="F12" s="362">
        <v>15</v>
      </c>
      <c r="G12" s="474">
        <v>528.86659999999995</v>
      </c>
      <c r="H12" s="475">
        <f>ROUND(F12*G12,2)</f>
        <v>7933</v>
      </c>
      <c r="I12" s="476">
        <v>0</v>
      </c>
      <c r="J12" s="476">
        <v>0</v>
      </c>
      <c r="K12" s="476">
        <v>0</v>
      </c>
      <c r="L12" s="476">
        <v>0</v>
      </c>
      <c r="M12" s="476">
        <v>0</v>
      </c>
      <c r="N12" s="476">
        <v>0</v>
      </c>
      <c r="O12" s="475">
        <f t="shared" ref="O12:O22" si="0">SUM(H12:N12)</f>
        <v>7933</v>
      </c>
      <c r="P12" s="477"/>
      <c r="Q12" s="475">
        <f t="shared" ref="Q12:Q22" si="1">IF(G12=47.16,0,IF(G12&gt;47.16,L12*0.5,0))</f>
        <v>0</v>
      </c>
      <c r="R12" s="475">
        <f>H12+I12+J12+M12+Q12+K12</f>
        <v>7933</v>
      </c>
      <c r="S12" s="475">
        <f t="shared" ref="S12:S22" si="2">VLOOKUP(R12,TARIFA1,1)</f>
        <v>6602.71</v>
      </c>
      <c r="T12" s="475">
        <f t="shared" ref="T12:T22" si="3">R12-S12</f>
        <v>1330.29</v>
      </c>
      <c r="U12" s="478">
        <f t="shared" ref="U12:U22" si="4">VLOOKUP(R12,TARIFA1,3)</f>
        <v>0.21360000000000001</v>
      </c>
      <c r="V12" s="475">
        <f t="shared" ref="V12:V22" si="5">T12*U12</f>
        <v>284.149944</v>
      </c>
      <c r="W12" s="475">
        <f t="shared" ref="W12:W22" si="6">VLOOKUP(R12,TARIFA1,2)</f>
        <v>699.3</v>
      </c>
      <c r="X12" s="475">
        <f t="shared" ref="X12:X22" si="7">V12+W12</f>
        <v>983.44994399999996</v>
      </c>
      <c r="Y12" s="475">
        <f t="shared" ref="Y12:Y22" si="8">VLOOKUP(R12,Credito1,2)</f>
        <v>0</v>
      </c>
      <c r="Z12" s="475">
        <f>ROUND(X12-Y12,2)</f>
        <v>983.45</v>
      </c>
      <c r="AA12" s="479"/>
      <c r="AB12" s="475">
        <f t="shared" ref="AB12:AB21" si="9">-IF(Z12&gt;0,0,Z12)</f>
        <v>0</v>
      </c>
      <c r="AC12" s="475">
        <f t="shared" ref="AC12:AC22" si="10">IF(Z12&lt;0,0,Z12)</f>
        <v>983.45</v>
      </c>
      <c r="AD12" s="475">
        <v>0</v>
      </c>
      <c r="AE12" s="476">
        <v>0</v>
      </c>
      <c r="AF12" s="476">
        <v>0</v>
      </c>
      <c r="AG12" s="476">
        <v>0</v>
      </c>
      <c r="AH12" s="475">
        <f t="shared" ref="AH12:AH22" si="11">SUM(AC12:AG12)</f>
        <v>983.45</v>
      </c>
      <c r="AI12" s="165">
        <f>O12+AB12-AH12</f>
        <v>6949.55</v>
      </c>
      <c r="AJ12" s="165"/>
      <c r="AK12" s="167"/>
      <c r="AL12" s="101"/>
      <c r="AM12" s="101"/>
    </row>
    <row r="13" spans="1:45" s="99" customFormat="1" ht="18" customHeight="1" x14ac:dyDescent="0.3">
      <c r="A13" s="103"/>
      <c r="B13" s="164">
        <v>2</v>
      </c>
      <c r="C13" s="467" t="s">
        <v>384</v>
      </c>
      <c r="D13" s="472" t="s">
        <v>160</v>
      </c>
      <c r="E13" s="473"/>
      <c r="F13" s="362">
        <v>15</v>
      </c>
      <c r="G13" s="474">
        <v>374.86660000000001</v>
      </c>
      <c r="H13" s="475">
        <f t="shared" ref="H13:H28" si="12">ROUND(F13*G13,2)</f>
        <v>5623</v>
      </c>
      <c r="I13" s="476">
        <v>0</v>
      </c>
      <c r="J13" s="476">
        <v>0</v>
      </c>
      <c r="K13" s="476">
        <v>0</v>
      </c>
      <c r="L13" s="476">
        <v>0</v>
      </c>
      <c r="M13" s="476">
        <v>0</v>
      </c>
      <c r="N13" s="476">
        <v>0</v>
      </c>
      <c r="O13" s="475">
        <f t="shared" si="0"/>
        <v>5623</v>
      </c>
      <c r="P13" s="477"/>
      <c r="Q13" s="475">
        <f t="shared" si="1"/>
        <v>0</v>
      </c>
      <c r="R13" s="475">
        <f t="shared" ref="R13:R22" si="13">H13+I13+J13+M13+Q13+K13</f>
        <v>5623</v>
      </c>
      <c r="S13" s="475">
        <f t="shared" si="2"/>
        <v>5514.76</v>
      </c>
      <c r="T13" s="475">
        <f t="shared" si="3"/>
        <v>108.23999999999978</v>
      </c>
      <c r="U13" s="478">
        <f t="shared" si="4"/>
        <v>0.1792</v>
      </c>
      <c r="V13" s="475">
        <f t="shared" si="5"/>
        <v>19.396607999999961</v>
      </c>
      <c r="W13" s="475">
        <f t="shared" si="6"/>
        <v>504.3</v>
      </c>
      <c r="X13" s="475">
        <f t="shared" si="7"/>
        <v>523.69660799999997</v>
      </c>
      <c r="Y13" s="475">
        <f t="shared" si="8"/>
        <v>0</v>
      </c>
      <c r="Z13" s="475">
        <f t="shared" ref="Z13:Z22" si="14">ROUND(X13-Y13,2)</f>
        <v>523.70000000000005</v>
      </c>
      <c r="AA13" s="479"/>
      <c r="AB13" s="475">
        <f t="shared" si="9"/>
        <v>0</v>
      </c>
      <c r="AC13" s="475">
        <f t="shared" si="10"/>
        <v>523.70000000000005</v>
      </c>
      <c r="AD13" s="475">
        <v>0</v>
      </c>
      <c r="AE13" s="476">
        <v>0</v>
      </c>
      <c r="AF13" s="476">
        <v>0</v>
      </c>
      <c r="AG13" s="476">
        <v>0</v>
      </c>
      <c r="AH13" s="475">
        <f t="shared" si="11"/>
        <v>523.70000000000005</v>
      </c>
      <c r="AI13" s="165">
        <f t="shared" ref="AI13:AI28" si="15">O13+AB13-AH13</f>
        <v>5099.3</v>
      </c>
      <c r="AJ13" s="165"/>
      <c r="AK13" s="167"/>
      <c r="AL13" s="101"/>
      <c r="AM13" s="101"/>
    </row>
    <row r="14" spans="1:45" s="99" customFormat="1" ht="18" customHeight="1" x14ac:dyDescent="0.3">
      <c r="A14" s="103"/>
      <c r="B14" s="164">
        <v>3</v>
      </c>
      <c r="C14" s="467" t="s">
        <v>462</v>
      </c>
      <c r="D14" s="472" t="s">
        <v>161</v>
      </c>
      <c r="E14" s="480"/>
      <c r="F14" s="362">
        <v>15</v>
      </c>
      <c r="G14" s="474">
        <v>366.93299999999999</v>
      </c>
      <c r="H14" s="475">
        <f t="shared" si="12"/>
        <v>5504</v>
      </c>
      <c r="I14" s="476">
        <v>0</v>
      </c>
      <c r="J14" s="476">
        <v>0</v>
      </c>
      <c r="K14" s="476">
        <v>0</v>
      </c>
      <c r="L14" s="476">
        <v>0</v>
      </c>
      <c r="M14" s="476">
        <v>0</v>
      </c>
      <c r="N14" s="476">
        <v>0</v>
      </c>
      <c r="O14" s="475">
        <f t="shared" si="0"/>
        <v>5504</v>
      </c>
      <c r="P14" s="477"/>
      <c r="Q14" s="475">
        <f t="shared" si="1"/>
        <v>0</v>
      </c>
      <c r="R14" s="475">
        <f t="shared" si="13"/>
        <v>5504</v>
      </c>
      <c r="S14" s="475">
        <f t="shared" si="2"/>
        <v>4744.0600000000004</v>
      </c>
      <c r="T14" s="475">
        <f t="shared" si="3"/>
        <v>759.9399999999996</v>
      </c>
      <c r="U14" s="478">
        <f t="shared" si="4"/>
        <v>0.16</v>
      </c>
      <c r="V14" s="475">
        <f t="shared" si="5"/>
        <v>121.59039999999993</v>
      </c>
      <c r="W14" s="475">
        <f t="shared" si="6"/>
        <v>381</v>
      </c>
      <c r="X14" s="475">
        <f t="shared" si="7"/>
        <v>502.59039999999993</v>
      </c>
      <c r="Y14" s="475">
        <f t="shared" si="8"/>
        <v>0</v>
      </c>
      <c r="Z14" s="475">
        <f t="shared" si="14"/>
        <v>502.59</v>
      </c>
      <c r="AA14" s="479"/>
      <c r="AB14" s="475">
        <f t="shared" si="9"/>
        <v>0</v>
      </c>
      <c r="AC14" s="475">
        <f t="shared" si="10"/>
        <v>502.59</v>
      </c>
      <c r="AD14" s="475">
        <v>0</v>
      </c>
      <c r="AE14" s="476">
        <v>0</v>
      </c>
      <c r="AF14" s="476">
        <v>0</v>
      </c>
      <c r="AG14" s="476">
        <v>0</v>
      </c>
      <c r="AH14" s="475">
        <f t="shared" si="11"/>
        <v>502.59</v>
      </c>
      <c r="AI14" s="165">
        <f t="shared" si="15"/>
        <v>5001.41</v>
      </c>
      <c r="AJ14" s="165"/>
      <c r="AK14" s="167"/>
      <c r="AL14" s="101"/>
      <c r="AM14" s="101"/>
    </row>
    <row r="15" spans="1:45" s="99" customFormat="1" ht="18" customHeight="1" x14ac:dyDescent="0.3">
      <c r="A15" s="103"/>
      <c r="B15" s="164">
        <v>4</v>
      </c>
      <c r="C15" s="467" t="s">
        <v>396</v>
      </c>
      <c r="D15" s="472" t="s">
        <v>161</v>
      </c>
      <c r="E15" s="473"/>
      <c r="F15" s="362">
        <v>15</v>
      </c>
      <c r="G15" s="474">
        <v>366.93299999999999</v>
      </c>
      <c r="H15" s="475">
        <f t="shared" si="12"/>
        <v>5504</v>
      </c>
      <c r="I15" s="476">
        <v>0</v>
      </c>
      <c r="J15" s="476">
        <v>0</v>
      </c>
      <c r="K15" s="476">
        <v>0</v>
      </c>
      <c r="L15" s="476">
        <v>0</v>
      </c>
      <c r="M15" s="476">
        <v>0</v>
      </c>
      <c r="N15" s="476">
        <v>0</v>
      </c>
      <c r="O15" s="475">
        <f t="shared" si="0"/>
        <v>5504</v>
      </c>
      <c r="P15" s="477"/>
      <c r="Q15" s="475">
        <f t="shared" si="1"/>
        <v>0</v>
      </c>
      <c r="R15" s="475">
        <f t="shared" si="13"/>
        <v>5504</v>
      </c>
      <c r="S15" s="475">
        <f t="shared" si="2"/>
        <v>4744.0600000000004</v>
      </c>
      <c r="T15" s="475">
        <f t="shared" si="3"/>
        <v>759.9399999999996</v>
      </c>
      <c r="U15" s="478">
        <f t="shared" si="4"/>
        <v>0.16</v>
      </c>
      <c r="V15" s="475">
        <f t="shared" si="5"/>
        <v>121.59039999999993</v>
      </c>
      <c r="W15" s="475">
        <f t="shared" si="6"/>
        <v>381</v>
      </c>
      <c r="X15" s="475">
        <f t="shared" si="7"/>
        <v>502.59039999999993</v>
      </c>
      <c r="Y15" s="475">
        <f t="shared" si="8"/>
        <v>0</v>
      </c>
      <c r="Z15" s="475">
        <f t="shared" si="14"/>
        <v>502.59</v>
      </c>
      <c r="AA15" s="479"/>
      <c r="AB15" s="475">
        <f t="shared" si="9"/>
        <v>0</v>
      </c>
      <c r="AC15" s="475">
        <f t="shared" si="10"/>
        <v>502.59</v>
      </c>
      <c r="AD15" s="475">
        <v>0</v>
      </c>
      <c r="AE15" s="476">
        <v>0</v>
      </c>
      <c r="AF15" s="476">
        <v>0</v>
      </c>
      <c r="AG15" s="476">
        <v>0</v>
      </c>
      <c r="AH15" s="475">
        <f t="shared" si="11"/>
        <v>502.59</v>
      </c>
      <c r="AI15" s="165">
        <f t="shared" si="15"/>
        <v>5001.41</v>
      </c>
      <c r="AJ15" s="165"/>
      <c r="AK15" s="167"/>
      <c r="AL15" s="101"/>
      <c r="AM15" s="101"/>
    </row>
    <row r="16" spans="1:45" s="99" customFormat="1" ht="18" customHeight="1" x14ac:dyDescent="0.3">
      <c r="A16" s="103"/>
      <c r="B16" s="164">
        <v>5</v>
      </c>
      <c r="C16" s="467" t="s">
        <v>508</v>
      </c>
      <c r="D16" s="472" t="s">
        <v>179</v>
      </c>
      <c r="E16" s="473"/>
      <c r="F16" s="362">
        <v>15</v>
      </c>
      <c r="G16" s="474">
        <v>347</v>
      </c>
      <c r="H16" s="475">
        <f t="shared" si="12"/>
        <v>5205</v>
      </c>
      <c r="I16" s="476">
        <v>0</v>
      </c>
      <c r="J16" s="476">
        <v>0</v>
      </c>
      <c r="K16" s="476">
        <v>0</v>
      </c>
      <c r="L16" s="476">
        <v>0</v>
      </c>
      <c r="M16" s="476">
        <v>0</v>
      </c>
      <c r="N16" s="476">
        <v>0</v>
      </c>
      <c r="O16" s="475">
        <f t="shared" si="0"/>
        <v>5205</v>
      </c>
      <c r="P16" s="477"/>
      <c r="Q16" s="475">
        <f t="shared" si="1"/>
        <v>0</v>
      </c>
      <c r="R16" s="475">
        <f t="shared" si="13"/>
        <v>5205</v>
      </c>
      <c r="S16" s="475">
        <f t="shared" si="2"/>
        <v>4744.0600000000004</v>
      </c>
      <c r="T16" s="475">
        <f t="shared" si="3"/>
        <v>460.9399999999996</v>
      </c>
      <c r="U16" s="478">
        <f t="shared" si="4"/>
        <v>0.16</v>
      </c>
      <c r="V16" s="475">
        <f t="shared" si="5"/>
        <v>73.750399999999942</v>
      </c>
      <c r="W16" s="475">
        <f t="shared" si="6"/>
        <v>381</v>
      </c>
      <c r="X16" s="475">
        <f t="shared" si="7"/>
        <v>454.75039999999996</v>
      </c>
      <c r="Y16" s="475">
        <f t="shared" si="8"/>
        <v>0</v>
      </c>
      <c r="Z16" s="475">
        <f t="shared" si="14"/>
        <v>454.75</v>
      </c>
      <c r="AA16" s="479"/>
      <c r="AB16" s="475">
        <f t="shared" si="9"/>
        <v>0</v>
      </c>
      <c r="AC16" s="475">
        <f t="shared" si="10"/>
        <v>454.75</v>
      </c>
      <c r="AD16" s="475">
        <v>0</v>
      </c>
      <c r="AE16" s="476">
        <v>0</v>
      </c>
      <c r="AF16" s="476">
        <v>0</v>
      </c>
      <c r="AG16" s="476">
        <v>0</v>
      </c>
      <c r="AH16" s="475">
        <f t="shared" si="11"/>
        <v>454.75</v>
      </c>
      <c r="AI16" s="165">
        <f t="shared" si="15"/>
        <v>4750.25</v>
      </c>
      <c r="AJ16" s="165"/>
      <c r="AK16" s="167"/>
      <c r="AL16" s="101"/>
    </row>
    <row r="17" spans="1:38" ht="18.75" customHeight="1" x14ac:dyDescent="0.25">
      <c r="A17" s="103"/>
      <c r="B17" s="164">
        <v>6</v>
      </c>
      <c r="C17" s="467" t="s">
        <v>501</v>
      </c>
      <c r="D17" s="472" t="s">
        <v>179</v>
      </c>
      <c r="E17" s="473"/>
      <c r="F17" s="362">
        <v>15</v>
      </c>
      <c r="G17" s="474">
        <v>347</v>
      </c>
      <c r="H17" s="475">
        <f t="shared" si="12"/>
        <v>5205</v>
      </c>
      <c r="I17" s="476">
        <v>0</v>
      </c>
      <c r="J17" s="476">
        <v>0</v>
      </c>
      <c r="K17" s="476">
        <v>0</v>
      </c>
      <c r="L17" s="476">
        <v>0</v>
      </c>
      <c r="M17" s="476">
        <v>0</v>
      </c>
      <c r="N17" s="476">
        <v>0</v>
      </c>
      <c r="O17" s="475">
        <f t="shared" si="0"/>
        <v>5205</v>
      </c>
      <c r="P17" s="477"/>
      <c r="Q17" s="475">
        <f t="shared" si="1"/>
        <v>0</v>
      </c>
      <c r="R17" s="475">
        <f t="shared" si="13"/>
        <v>5205</v>
      </c>
      <c r="S17" s="475">
        <f t="shared" si="2"/>
        <v>4744.0600000000004</v>
      </c>
      <c r="T17" s="475">
        <f t="shared" si="3"/>
        <v>460.9399999999996</v>
      </c>
      <c r="U17" s="478">
        <f t="shared" si="4"/>
        <v>0.16</v>
      </c>
      <c r="V17" s="475">
        <f t="shared" si="5"/>
        <v>73.750399999999942</v>
      </c>
      <c r="W17" s="475">
        <f t="shared" si="6"/>
        <v>381</v>
      </c>
      <c r="X17" s="475">
        <f t="shared" si="7"/>
        <v>454.75039999999996</v>
      </c>
      <c r="Y17" s="475">
        <f t="shared" si="8"/>
        <v>0</v>
      </c>
      <c r="Z17" s="475">
        <f t="shared" si="14"/>
        <v>454.75</v>
      </c>
      <c r="AA17" s="479"/>
      <c r="AB17" s="475">
        <f t="shared" si="9"/>
        <v>0</v>
      </c>
      <c r="AC17" s="475">
        <f t="shared" si="10"/>
        <v>454.75</v>
      </c>
      <c r="AD17" s="475">
        <v>0</v>
      </c>
      <c r="AE17" s="476">
        <v>0</v>
      </c>
      <c r="AF17" s="476">
        <v>0</v>
      </c>
      <c r="AG17" s="476">
        <v>0</v>
      </c>
      <c r="AH17" s="475">
        <f t="shared" si="11"/>
        <v>454.75</v>
      </c>
      <c r="AI17" s="165">
        <f t="shared" si="15"/>
        <v>4750.25</v>
      </c>
      <c r="AJ17" s="165"/>
      <c r="AK17" s="175"/>
    </row>
    <row r="18" spans="1:38" ht="18" customHeight="1" x14ac:dyDescent="0.25">
      <c r="A18" s="103"/>
      <c r="B18" s="164">
        <v>7</v>
      </c>
      <c r="C18" s="467" t="s">
        <v>354</v>
      </c>
      <c r="D18" s="472" t="s">
        <v>179</v>
      </c>
      <c r="E18" s="473"/>
      <c r="F18" s="362">
        <v>15</v>
      </c>
      <c r="G18" s="474">
        <v>347</v>
      </c>
      <c r="H18" s="475">
        <f t="shared" si="12"/>
        <v>5205</v>
      </c>
      <c r="I18" s="476">
        <v>0</v>
      </c>
      <c r="J18" s="476">
        <v>0</v>
      </c>
      <c r="K18" s="476">
        <v>0</v>
      </c>
      <c r="L18" s="476">
        <v>0</v>
      </c>
      <c r="M18" s="476">
        <v>0</v>
      </c>
      <c r="N18" s="476">
        <v>0</v>
      </c>
      <c r="O18" s="475">
        <f t="shared" si="0"/>
        <v>5205</v>
      </c>
      <c r="P18" s="477"/>
      <c r="Q18" s="475">
        <f t="shared" si="1"/>
        <v>0</v>
      </c>
      <c r="R18" s="475">
        <f t="shared" si="13"/>
        <v>5205</v>
      </c>
      <c r="S18" s="475">
        <f t="shared" si="2"/>
        <v>4744.0600000000004</v>
      </c>
      <c r="T18" s="475">
        <f t="shared" si="3"/>
        <v>460.9399999999996</v>
      </c>
      <c r="U18" s="478">
        <f t="shared" si="4"/>
        <v>0.16</v>
      </c>
      <c r="V18" s="475">
        <f t="shared" si="5"/>
        <v>73.750399999999942</v>
      </c>
      <c r="W18" s="475">
        <f t="shared" si="6"/>
        <v>381</v>
      </c>
      <c r="X18" s="475">
        <f t="shared" si="7"/>
        <v>454.75039999999996</v>
      </c>
      <c r="Y18" s="475">
        <f t="shared" si="8"/>
        <v>0</v>
      </c>
      <c r="Z18" s="475">
        <f t="shared" si="14"/>
        <v>454.75</v>
      </c>
      <c r="AA18" s="479"/>
      <c r="AB18" s="475">
        <f t="shared" si="9"/>
        <v>0</v>
      </c>
      <c r="AC18" s="475">
        <f t="shared" si="10"/>
        <v>454.75</v>
      </c>
      <c r="AD18" s="475">
        <v>0</v>
      </c>
      <c r="AE18" s="476">
        <v>0</v>
      </c>
      <c r="AF18" s="476">
        <v>0</v>
      </c>
      <c r="AG18" s="476">
        <v>0</v>
      </c>
      <c r="AH18" s="475">
        <f t="shared" si="11"/>
        <v>454.75</v>
      </c>
      <c r="AI18" s="165">
        <f t="shared" si="15"/>
        <v>4750.25</v>
      </c>
      <c r="AJ18" s="165"/>
      <c r="AK18" s="175"/>
    </row>
    <row r="19" spans="1:38" ht="18" customHeight="1" x14ac:dyDescent="0.25">
      <c r="A19" s="103"/>
      <c r="B19" s="164">
        <v>8</v>
      </c>
      <c r="C19" s="467" t="s">
        <v>463</v>
      </c>
      <c r="D19" s="472" t="s">
        <v>132</v>
      </c>
      <c r="E19" s="473"/>
      <c r="F19" s="362">
        <v>15</v>
      </c>
      <c r="G19" s="474">
        <v>106.6666</v>
      </c>
      <c r="H19" s="475">
        <f t="shared" si="12"/>
        <v>1600</v>
      </c>
      <c r="I19" s="476">
        <v>0</v>
      </c>
      <c r="J19" s="476">
        <v>0</v>
      </c>
      <c r="K19" s="476">
        <v>0</v>
      </c>
      <c r="L19" s="476">
        <v>0</v>
      </c>
      <c r="M19" s="476">
        <v>0</v>
      </c>
      <c r="N19" s="476">
        <v>0</v>
      </c>
      <c r="O19" s="475">
        <f t="shared" si="0"/>
        <v>1600</v>
      </c>
      <c r="P19" s="477"/>
      <c r="Q19" s="475">
        <f t="shared" si="1"/>
        <v>0</v>
      </c>
      <c r="R19" s="475">
        <f t="shared" si="13"/>
        <v>1600</v>
      </c>
      <c r="S19" s="475">
        <f t="shared" si="2"/>
        <v>318.01</v>
      </c>
      <c r="T19" s="475">
        <f t="shared" si="3"/>
        <v>1281.99</v>
      </c>
      <c r="U19" s="478">
        <f t="shared" si="4"/>
        <v>6.4000000000000001E-2</v>
      </c>
      <c r="V19" s="475">
        <f t="shared" si="5"/>
        <v>82.047359999999998</v>
      </c>
      <c r="W19" s="475">
        <f t="shared" si="6"/>
        <v>6.15</v>
      </c>
      <c r="X19" s="475">
        <f t="shared" si="7"/>
        <v>88.197360000000003</v>
      </c>
      <c r="Y19" s="475">
        <f t="shared" si="8"/>
        <v>200.7</v>
      </c>
      <c r="Z19" s="475">
        <f t="shared" si="14"/>
        <v>-112.5</v>
      </c>
      <c r="AA19" s="479"/>
      <c r="AB19" s="475">
        <f t="shared" si="9"/>
        <v>112.5</v>
      </c>
      <c r="AC19" s="475">
        <f t="shared" si="10"/>
        <v>0</v>
      </c>
      <c r="AD19" s="475">
        <v>0</v>
      </c>
      <c r="AE19" s="476">
        <v>0</v>
      </c>
      <c r="AF19" s="476">
        <v>0</v>
      </c>
      <c r="AG19" s="476">
        <v>0</v>
      </c>
      <c r="AH19" s="475">
        <f t="shared" si="11"/>
        <v>0</v>
      </c>
      <c r="AI19" s="165">
        <f t="shared" si="15"/>
        <v>1712.5</v>
      </c>
      <c r="AJ19" s="165"/>
      <c r="AK19" s="175"/>
    </row>
    <row r="20" spans="1:38" ht="18" customHeight="1" x14ac:dyDescent="0.25">
      <c r="A20" s="103"/>
      <c r="B20" s="164">
        <v>9</v>
      </c>
      <c r="C20" s="467" t="s">
        <v>500</v>
      </c>
      <c r="D20" s="472" t="s">
        <v>179</v>
      </c>
      <c r="E20" s="473"/>
      <c r="F20" s="362">
        <v>15</v>
      </c>
      <c r="G20" s="474">
        <v>347</v>
      </c>
      <c r="H20" s="475">
        <f t="shared" si="12"/>
        <v>5205</v>
      </c>
      <c r="I20" s="476">
        <v>0</v>
      </c>
      <c r="J20" s="476">
        <v>0</v>
      </c>
      <c r="K20" s="476">
        <v>0</v>
      </c>
      <c r="L20" s="476">
        <v>0</v>
      </c>
      <c r="M20" s="476">
        <v>0</v>
      </c>
      <c r="N20" s="476">
        <v>0</v>
      </c>
      <c r="O20" s="475">
        <f t="shared" si="0"/>
        <v>5205</v>
      </c>
      <c r="P20" s="477"/>
      <c r="Q20" s="475">
        <f t="shared" si="1"/>
        <v>0</v>
      </c>
      <c r="R20" s="475">
        <f t="shared" si="13"/>
        <v>5205</v>
      </c>
      <c r="S20" s="475">
        <f t="shared" si="2"/>
        <v>4744.0600000000004</v>
      </c>
      <c r="T20" s="475">
        <f t="shared" si="3"/>
        <v>460.9399999999996</v>
      </c>
      <c r="U20" s="478">
        <f t="shared" si="4"/>
        <v>0.16</v>
      </c>
      <c r="V20" s="475">
        <f t="shared" si="5"/>
        <v>73.750399999999942</v>
      </c>
      <c r="W20" s="475">
        <f t="shared" si="6"/>
        <v>381</v>
      </c>
      <c r="X20" s="475">
        <f t="shared" si="7"/>
        <v>454.75039999999996</v>
      </c>
      <c r="Y20" s="475">
        <f t="shared" si="8"/>
        <v>0</v>
      </c>
      <c r="Z20" s="475">
        <f t="shared" si="14"/>
        <v>454.75</v>
      </c>
      <c r="AA20" s="479"/>
      <c r="AB20" s="475">
        <f t="shared" si="9"/>
        <v>0</v>
      </c>
      <c r="AC20" s="475">
        <f t="shared" si="10"/>
        <v>454.75</v>
      </c>
      <c r="AD20" s="475">
        <v>0</v>
      </c>
      <c r="AE20" s="476">
        <v>0</v>
      </c>
      <c r="AF20" s="476">
        <v>0</v>
      </c>
      <c r="AG20" s="476">
        <v>0</v>
      </c>
      <c r="AH20" s="475">
        <f t="shared" si="11"/>
        <v>454.75</v>
      </c>
      <c r="AI20" s="165">
        <f t="shared" si="15"/>
        <v>4750.25</v>
      </c>
      <c r="AJ20" s="165"/>
      <c r="AK20" s="175"/>
    </row>
    <row r="21" spans="1:38" ht="18" customHeight="1" x14ac:dyDescent="0.25">
      <c r="A21" s="103"/>
      <c r="B21" s="164">
        <v>10</v>
      </c>
      <c r="C21" s="467" t="s">
        <v>392</v>
      </c>
      <c r="D21" s="472" t="s">
        <v>179</v>
      </c>
      <c r="E21" s="472"/>
      <c r="F21" s="362">
        <v>15</v>
      </c>
      <c r="G21" s="474">
        <v>347</v>
      </c>
      <c r="H21" s="475">
        <f t="shared" si="12"/>
        <v>5205</v>
      </c>
      <c r="I21" s="476">
        <v>0</v>
      </c>
      <c r="J21" s="476">
        <v>0</v>
      </c>
      <c r="K21" s="476">
        <v>0</v>
      </c>
      <c r="L21" s="476">
        <v>0</v>
      </c>
      <c r="M21" s="476">
        <v>0</v>
      </c>
      <c r="N21" s="476">
        <v>0</v>
      </c>
      <c r="O21" s="475">
        <f t="shared" si="0"/>
        <v>5205</v>
      </c>
      <c r="P21" s="477"/>
      <c r="Q21" s="475">
        <f t="shared" si="1"/>
        <v>0</v>
      </c>
      <c r="R21" s="475">
        <f t="shared" si="13"/>
        <v>5205</v>
      </c>
      <c r="S21" s="475">
        <f t="shared" si="2"/>
        <v>4744.0600000000004</v>
      </c>
      <c r="T21" s="475">
        <f t="shared" si="3"/>
        <v>460.9399999999996</v>
      </c>
      <c r="U21" s="478">
        <f t="shared" si="4"/>
        <v>0.16</v>
      </c>
      <c r="V21" s="475">
        <f t="shared" si="5"/>
        <v>73.750399999999942</v>
      </c>
      <c r="W21" s="475">
        <f t="shared" si="6"/>
        <v>381</v>
      </c>
      <c r="X21" s="475">
        <f t="shared" si="7"/>
        <v>454.75039999999996</v>
      </c>
      <c r="Y21" s="475">
        <f t="shared" si="8"/>
        <v>0</v>
      </c>
      <c r="Z21" s="475">
        <f t="shared" si="14"/>
        <v>454.75</v>
      </c>
      <c r="AA21" s="479"/>
      <c r="AB21" s="475">
        <f t="shared" si="9"/>
        <v>0</v>
      </c>
      <c r="AC21" s="475">
        <f t="shared" si="10"/>
        <v>454.75</v>
      </c>
      <c r="AD21" s="475">
        <v>0</v>
      </c>
      <c r="AE21" s="476">
        <v>0</v>
      </c>
      <c r="AF21" s="476">
        <v>0</v>
      </c>
      <c r="AG21" s="476">
        <v>0</v>
      </c>
      <c r="AH21" s="475">
        <f t="shared" si="11"/>
        <v>454.75</v>
      </c>
      <c r="AI21" s="165">
        <f t="shared" si="15"/>
        <v>4750.25</v>
      </c>
      <c r="AJ21" s="165"/>
      <c r="AK21" s="175"/>
    </row>
    <row r="22" spans="1:38" ht="18" customHeight="1" x14ac:dyDescent="0.25">
      <c r="A22" s="103"/>
      <c r="B22" s="164">
        <v>11</v>
      </c>
      <c r="C22" s="467" t="s">
        <v>528</v>
      </c>
      <c r="D22" s="472" t="s">
        <v>179</v>
      </c>
      <c r="E22" s="473"/>
      <c r="F22" s="362">
        <v>15</v>
      </c>
      <c r="G22" s="474">
        <v>347</v>
      </c>
      <c r="H22" s="475">
        <f t="shared" si="12"/>
        <v>5205</v>
      </c>
      <c r="I22" s="476">
        <v>0</v>
      </c>
      <c r="J22" s="476">
        <v>0</v>
      </c>
      <c r="K22" s="476">
        <v>0</v>
      </c>
      <c r="L22" s="476">
        <v>0</v>
      </c>
      <c r="M22" s="476">
        <v>0</v>
      </c>
      <c r="N22" s="476">
        <v>0</v>
      </c>
      <c r="O22" s="475">
        <f t="shared" si="0"/>
        <v>5205</v>
      </c>
      <c r="P22" s="477"/>
      <c r="Q22" s="475">
        <f t="shared" si="1"/>
        <v>0</v>
      </c>
      <c r="R22" s="475">
        <f t="shared" si="13"/>
        <v>5205</v>
      </c>
      <c r="S22" s="475">
        <f t="shared" si="2"/>
        <v>4744.0600000000004</v>
      </c>
      <c r="T22" s="475">
        <f t="shared" si="3"/>
        <v>460.9399999999996</v>
      </c>
      <c r="U22" s="478">
        <f t="shared" si="4"/>
        <v>0.16</v>
      </c>
      <c r="V22" s="475">
        <f t="shared" si="5"/>
        <v>73.750399999999942</v>
      </c>
      <c r="W22" s="475">
        <f t="shared" si="6"/>
        <v>381</v>
      </c>
      <c r="X22" s="475">
        <f t="shared" si="7"/>
        <v>454.75039999999996</v>
      </c>
      <c r="Y22" s="475">
        <f t="shared" si="8"/>
        <v>0</v>
      </c>
      <c r="Z22" s="475">
        <f t="shared" si="14"/>
        <v>454.75</v>
      </c>
      <c r="AA22" s="479"/>
      <c r="AB22" s="475">
        <v>0</v>
      </c>
      <c r="AC22" s="475">
        <f t="shared" si="10"/>
        <v>454.75</v>
      </c>
      <c r="AD22" s="475">
        <v>0</v>
      </c>
      <c r="AE22" s="476">
        <v>0</v>
      </c>
      <c r="AF22" s="476">
        <v>0</v>
      </c>
      <c r="AG22" s="476">
        <v>0</v>
      </c>
      <c r="AH22" s="475">
        <f t="shared" si="11"/>
        <v>454.75</v>
      </c>
      <c r="AI22" s="165">
        <f t="shared" si="15"/>
        <v>4750.25</v>
      </c>
      <c r="AJ22" s="165"/>
      <c r="AK22" s="175"/>
    </row>
    <row r="23" spans="1:38" ht="18" customHeight="1" x14ac:dyDescent="0.25">
      <c r="A23" s="103"/>
      <c r="B23" s="164">
        <v>12</v>
      </c>
      <c r="C23" s="467" t="s">
        <v>352</v>
      </c>
      <c r="D23" s="472" t="s">
        <v>179</v>
      </c>
      <c r="E23" s="473"/>
      <c r="F23" s="362">
        <v>15</v>
      </c>
      <c r="G23" s="474">
        <v>347</v>
      </c>
      <c r="H23" s="475">
        <f t="shared" si="12"/>
        <v>5205</v>
      </c>
      <c r="I23" s="476">
        <v>0</v>
      </c>
      <c r="J23" s="476">
        <v>0</v>
      </c>
      <c r="K23" s="476">
        <v>0</v>
      </c>
      <c r="L23" s="476">
        <v>0</v>
      </c>
      <c r="M23" s="476">
        <v>0</v>
      </c>
      <c r="N23" s="476">
        <v>0</v>
      </c>
      <c r="O23" s="475">
        <f>SUM(H23:N23)</f>
        <v>5205</v>
      </c>
      <c r="P23" s="477"/>
      <c r="Q23" s="475">
        <f>IF(G23=47.16,0,IF(G23&gt;47.16,L23*0.5,0))</f>
        <v>0</v>
      </c>
      <c r="R23" s="475">
        <f>H23+I23+J23+M23+Q23+K23</f>
        <v>5205</v>
      </c>
      <c r="S23" s="475">
        <f t="shared" ref="S23:S28" si="16">VLOOKUP(R23,TARIFA1,1)</f>
        <v>4744.0600000000004</v>
      </c>
      <c r="T23" s="475">
        <f>R23-S23</f>
        <v>460.9399999999996</v>
      </c>
      <c r="U23" s="478">
        <f t="shared" ref="U23:U28" si="17">VLOOKUP(R23,TARIFA1,3)</f>
        <v>0.16</v>
      </c>
      <c r="V23" s="475">
        <f>T23*U23</f>
        <v>73.750399999999942</v>
      </c>
      <c r="W23" s="475">
        <f t="shared" ref="W23:W28" si="18">VLOOKUP(R23,TARIFA1,2)</f>
        <v>381</v>
      </c>
      <c r="X23" s="475">
        <f>V23+W23</f>
        <v>454.75039999999996</v>
      </c>
      <c r="Y23" s="475">
        <f t="shared" ref="Y23:Y28" si="19">VLOOKUP(R23,Credito1,2)</f>
        <v>0</v>
      </c>
      <c r="Z23" s="475">
        <f>ROUND(X23-Y23,2)</f>
        <v>454.75</v>
      </c>
      <c r="AA23" s="479"/>
      <c r="AB23" s="475">
        <v>0</v>
      </c>
      <c r="AC23" s="475">
        <f>IF(Z23&lt;0,0,Z23)</f>
        <v>454.75</v>
      </c>
      <c r="AD23" s="475">
        <v>0</v>
      </c>
      <c r="AE23" s="476">
        <v>0</v>
      </c>
      <c r="AF23" s="476">
        <v>0</v>
      </c>
      <c r="AG23" s="476">
        <v>0</v>
      </c>
      <c r="AH23" s="475">
        <f>SUM(AC23:AG23)</f>
        <v>454.75</v>
      </c>
      <c r="AI23" s="165">
        <f t="shared" si="15"/>
        <v>4750.25</v>
      </c>
      <c r="AJ23" s="165"/>
      <c r="AK23" s="175"/>
    </row>
    <row r="24" spans="1:38" ht="18" customHeight="1" x14ac:dyDescent="0.25">
      <c r="A24" s="103"/>
      <c r="B24" s="164">
        <v>13</v>
      </c>
      <c r="C24" s="467" t="s">
        <v>336</v>
      </c>
      <c r="D24" s="472" t="s">
        <v>179</v>
      </c>
      <c r="E24" s="473"/>
      <c r="F24" s="362">
        <v>15</v>
      </c>
      <c r="G24" s="474">
        <v>347</v>
      </c>
      <c r="H24" s="475">
        <f>ROUND(F24*G24,2)</f>
        <v>5205</v>
      </c>
      <c r="I24" s="476">
        <v>0</v>
      </c>
      <c r="J24" s="476">
        <v>0</v>
      </c>
      <c r="K24" s="476">
        <v>0</v>
      </c>
      <c r="L24" s="476">
        <v>0</v>
      </c>
      <c r="M24" s="476">
        <v>0</v>
      </c>
      <c r="N24" s="476">
        <v>0</v>
      </c>
      <c r="O24" s="475">
        <f>SUM(H24:N24)</f>
        <v>5205</v>
      </c>
      <c r="P24" s="477"/>
      <c r="Q24" s="475">
        <f>IF(G24=47.16,0,IF(G24&gt;47.16,L24*0.5,0))</f>
        <v>0</v>
      </c>
      <c r="R24" s="475">
        <f>H24+I24+J24+M24+Q24+K24</f>
        <v>5205</v>
      </c>
      <c r="S24" s="475">
        <f t="shared" si="16"/>
        <v>4744.0600000000004</v>
      </c>
      <c r="T24" s="475">
        <f>R24-S24</f>
        <v>460.9399999999996</v>
      </c>
      <c r="U24" s="478">
        <f t="shared" si="17"/>
        <v>0.16</v>
      </c>
      <c r="V24" s="475">
        <f>T24*U24</f>
        <v>73.750399999999942</v>
      </c>
      <c r="W24" s="475">
        <f t="shared" si="18"/>
        <v>381</v>
      </c>
      <c r="X24" s="475">
        <f>V24+W24</f>
        <v>454.75039999999996</v>
      </c>
      <c r="Y24" s="475">
        <f t="shared" si="19"/>
        <v>0</v>
      </c>
      <c r="Z24" s="475">
        <f>ROUND(X24-Y24,2)</f>
        <v>454.75</v>
      </c>
      <c r="AA24" s="479"/>
      <c r="AB24" s="475">
        <f>-IF(Z24&gt;0,0,Z24)</f>
        <v>0</v>
      </c>
      <c r="AC24" s="475">
        <f>IF(Z24&lt;0,0,Z24)</f>
        <v>454.75</v>
      </c>
      <c r="AD24" s="475">
        <v>0</v>
      </c>
      <c r="AE24" s="476">
        <v>0</v>
      </c>
      <c r="AF24" s="476">
        <v>0</v>
      </c>
      <c r="AG24" s="476">
        <v>0</v>
      </c>
      <c r="AH24" s="475">
        <f>SUM(AC24:AG24)</f>
        <v>454.75</v>
      </c>
      <c r="AI24" s="165">
        <f t="shared" si="15"/>
        <v>4750.25</v>
      </c>
      <c r="AJ24" s="165"/>
      <c r="AK24" s="175"/>
    </row>
    <row r="25" spans="1:38" ht="18" customHeight="1" x14ac:dyDescent="0.25">
      <c r="A25" s="103"/>
      <c r="B25" s="164">
        <v>14</v>
      </c>
      <c r="C25" s="467" t="s">
        <v>422</v>
      </c>
      <c r="D25" s="472" t="s">
        <v>179</v>
      </c>
      <c r="E25" s="473"/>
      <c r="F25" s="362">
        <v>15</v>
      </c>
      <c r="G25" s="474">
        <v>347</v>
      </c>
      <c r="H25" s="475">
        <f t="shared" si="12"/>
        <v>5205</v>
      </c>
      <c r="I25" s="476">
        <v>0</v>
      </c>
      <c r="J25" s="476">
        <v>0</v>
      </c>
      <c r="K25" s="476">
        <v>0</v>
      </c>
      <c r="L25" s="476">
        <v>0</v>
      </c>
      <c r="M25" s="476">
        <v>0</v>
      </c>
      <c r="N25" s="476">
        <v>0</v>
      </c>
      <c r="O25" s="475">
        <f>SUM(H25:N25)</f>
        <v>5205</v>
      </c>
      <c r="P25" s="477"/>
      <c r="Q25" s="475">
        <f t="shared" ref="Q25:Q28" si="20">IF(G25=47.16,0,IF(G25&gt;47.16,L25*0.5,0))</f>
        <v>0</v>
      </c>
      <c r="R25" s="475">
        <f t="shared" ref="R25:R28" si="21">H25+I25+J25+M25+Q25+K25</f>
        <v>5205</v>
      </c>
      <c r="S25" s="475">
        <f t="shared" si="16"/>
        <v>4744.0600000000004</v>
      </c>
      <c r="T25" s="475">
        <f t="shared" ref="T25:T28" si="22">R25-S25</f>
        <v>460.9399999999996</v>
      </c>
      <c r="U25" s="478">
        <f t="shared" si="17"/>
        <v>0.16</v>
      </c>
      <c r="V25" s="475">
        <f t="shared" ref="V25:V28" si="23">T25*U25</f>
        <v>73.750399999999942</v>
      </c>
      <c r="W25" s="475">
        <f t="shared" si="18"/>
        <v>381</v>
      </c>
      <c r="X25" s="475">
        <f t="shared" ref="X25:X28" si="24">V25+W25</f>
        <v>454.75039999999996</v>
      </c>
      <c r="Y25" s="475">
        <f t="shared" si="19"/>
        <v>0</v>
      </c>
      <c r="Z25" s="475">
        <f t="shared" ref="Z25:Z28" si="25">ROUND(X25-Y25,2)</f>
        <v>454.75</v>
      </c>
      <c r="AA25" s="479"/>
      <c r="AB25" s="475">
        <f>-IF(Z25&gt;0,0,Z25)</f>
        <v>0</v>
      </c>
      <c r="AC25" s="475">
        <f>IF(Z25&lt;0,0,Z25)</f>
        <v>454.75</v>
      </c>
      <c r="AD25" s="475">
        <v>0</v>
      </c>
      <c r="AE25" s="476">
        <v>0</v>
      </c>
      <c r="AF25" s="476">
        <v>0</v>
      </c>
      <c r="AG25" s="476">
        <v>0</v>
      </c>
      <c r="AH25" s="475">
        <f>SUM(AC25:AG25)</f>
        <v>454.75</v>
      </c>
      <c r="AI25" s="165">
        <f t="shared" si="15"/>
        <v>4750.25</v>
      </c>
      <c r="AJ25" s="165"/>
      <c r="AK25" s="175"/>
    </row>
    <row r="26" spans="1:38" ht="18" customHeight="1" x14ac:dyDescent="0.25">
      <c r="A26" s="103"/>
      <c r="B26" s="164">
        <v>15</v>
      </c>
      <c r="C26" s="467" t="s">
        <v>431</v>
      </c>
      <c r="D26" s="472" t="s">
        <v>179</v>
      </c>
      <c r="E26" s="473"/>
      <c r="F26" s="362">
        <v>15</v>
      </c>
      <c r="G26" s="474">
        <v>347</v>
      </c>
      <c r="H26" s="475">
        <f t="shared" si="12"/>
        <v>5205</v>
      </c>
      <c r="I26" s="476">
        <v>0</v>
      </c>
      <c r="J26" s="476">
        <v>0</v>
      </c>
      <c r="K26" s="476">
        <v>0</v>
      </c>
      <c r="L26" s="476">
        <v>0</v>
      </c>
      <c r="M26" s="476">
        <v>0</v>
      </c>
      <c r="N26" s="476">
        <v>0</v>
      </c>
      <c r="O26" s="475">
        <f>SUM(H26:N26)</f>
        <v>5205</v>
      </c>
      <c r="P26" s="477"/>
      <c r="Q26" s="475">
        <f t="shared" si="20"/>
        <v>0</v>
      </c>
      <c r="R26" s="475">
        <f t="shared" si="21"/>
        <v>5205</v>
      </c>
      <c r="S26" s="475">
        <f t="shared" si="16"/>
        <v>4744.0600000000004</v>
      </c>
      <c r="T26" s="475">
        <f t="shared" si="22"/>
        <v>460.9399999999996</v>
      </c>
      <c r="U26" s="478">
        <f t="shared" si="17"/>
        <v>0.16</v>
      </c>
      <c r="V26" s="475">
        <f t="shared" si="23"/>
        <v>73.750399999999942</v>
      </c>
      <c r="W26" s="475">
        <f t="shared" si="18"/>
        <v>381</v>
      </c>
      <c r="X26" s="475">
        <f t="shared" si="24"/>
        <v>454.75039999999996</v>
      </c>
      <c r="Y26" s="475">
        <f t="shared" si="19"/>
        <v>0</v>
      </c>
      <c r="Z26" s="475">
        <f t="shared" si="25"/>
        <v>454.75</v>
      </c>
      <c r="AA26" s="479"/>
      <c r="AB26" s="475">
        <f>-IF(Z26&gt;0,0,Z26)</f>
        <v>0</v>
      </c>
      <c r="AC26" s="475">
        <f>IF(Z26&lt;0,0,Z26)</f>
        <v>454.75</v>
      </c>
      <c r="AD26" s="475">
        <v>0</v>
      </c>
      <c r="AE26" s="476">
        <v>0</v>
      </c>
      <c r="AF26" s="476">
        <v>0</v>
      </c>
      <c r="AG26" s="476">
        <v>0</v>
      </c>
      <c r="AH26" s="475">
        <f>SUM(AC26:AG26)</f>
        <v>454.75</v>
      </c>
      <c r="AI26" s="165">
        <f t="shared" si="15"/>
        <v>4750.25</v>
      </c>
      <c r="AJ26" s="165"/>
      <c r="AK26" s="175"/>
    </row>
    <row r="27" spans="1:38" ht="18" customHeight="1" x14ac:dyDescent="0.25">
      <c r="A27" s="103"/>
      <c r="B27" s="164">
        <v>16</v>
      </c>
      <c r="C27" s="468" t="s">
        <v>425</v>
      </c>
      <c r="D27" s="481" t="s">
        <v>260</v>
      </c>
      <c r="E27" s="473"/>
      <c r="F27" s="362">
        <v>15</v>
      </c>
      <c r="G27" s="474">
        <v>347</v>
      </c>
      <c r="H27" s="475">
        <f t="shared" si="12"/>
        <v>5205</v>
      </c>
      <c r="I27" s="476">
        <v>0</v>
      </c>
      <c r="J27" s="476">
        <v>0</v>
      </c>
      <c r="K27" s="476">
        <v>0</v>
      </c>
      <c r="L27" s="476">
        <v>0</v>
      </c>
      <c r="M27" s="476">
        <v>0</v>
      </c>
      <c r="N27" s="476">
        <v>0</v>
      </c>
      <c r="O27" s="475">
        <f t="shared" ref="O27:O28" si="26">SUM(H27:N27)</f>
        <v>5205</v>
      </c>
      <c r="P27" s="475"/>
      <c r="Q27" s="475">
        <f t="shared" si="20"/>
        <v>0</v>
      </c>
      <c r="R27" s="475">
        <f t="shared" si="21"/>
        <v>5205</v>
      </c>
      <c r="S27" s="475">
        <f t="shared" si="16"/>
        <v>4744.0600000000004</v>
      </c>
      <c r="T27" s="475">
        <f t="shared" si="22"/>
        <v>460.9399999999996</v>
      </c>
      <c r="U27" s="478">
        <f t="shared" si="17"/>
        <v>0.16</v>
      </c>
      <c r="V27" s="475">
        <f t="shared" si="23"/>
        <v>73.750399999999942</v>
      </c>
      <c r="W27" s="475">
        <f t="shared" si="18"/>
        <v>381</v>
      </c>
      <c r="X27" s="475">
        <f t="shared" si="24"/>
        <v>454.75039999999996</v>
      </c>
      <c r="Y27" s="475">
        <f t="shared" si="19"/>
        <v>0</v>
      </c>
      <c r="Z27" s="475">
        <f t="shared" si="25"/>
        <v>454.75</v>
      </c>
      <c r="AA27" s="475"/>
      <c r="AB27" s="475">
        <f t="shared" ref="AB27:AB28" si="27">-IF(Z27&gt;0,0,Z27)</f>
        <v>0</v>
      </c>
      <c r="AC27" s="475">
        <f t="shared" ref="AC27:AC28" si="28">IF(Z27&lt;0,0,Z27)</f>
        <v>454.75</v>
      </c>
      <c r="AD27" s="475">
        <v>0</v>
      </c>
      <c r="AE27" s="476">
        <v>0</v>
      </c>
      <c r="AF27" s="476">
        <v>0</v>
      </c>
      <c r="AG27" s="476">
        <v>0</v>
      </c>
      <c r="AH27" s="475">
        <f t="shared" ref="AH27:AH28" si="29">SUM(AC27:AG27)</f>
        <v>454.75</v>
      </c>
      <c r="AI27" s="165">
        <f t="shared" si="15"/>
        <v>4750.25</v>
      </c>
      <c r="AJ27" s="165"/>
      <c r="AK27" s="175"/>
    </row>
    <row r="28" spans="1:38" ht="18" customHeight="1" x14ac:dyDescent="0.25">
      <c r="A28" s="103"/>
      <c r="B28" s="164">
        <v>17</v>
      </c>
      <c r="C28" s="469" t="s">
        <v>490</v>
      </c>
      <c r="D28" s="482" t="s">
        <v>179</v>
      </c>
      <c r="E28" s="483"/>
      <c r="F28" s="362">
        <v>15</v>
      </c>
      <c r="G28" s="474">
        <v>347</v>
      </c>
      <c r="H28" s="475">
        <f t="shared" si="12"/>
        <v>5205</v>
      </c>
      <c r="I28" s="476">
        <v>0</v>
      </c>
      <c r="J28" s="476">
        <v>0</v>
      </c>
      <c r="K28" s="476">
        <v>0</v>
      </c>
      <c r="L28" s="476">
        <v>0</v>
      </c>
      <c r="M28" s="476">
        <v>0</v>
      </c>
      <c r="N28" s="476">
        <v>0</v>
      </c>
      <c r="O28" s="475">
        <f t="shared" si="26"/>
        <v>5205</v>
      </c>
      <c r="P28" s="475"/>
      <c r="Q28" s="475">
        <f t="shared" si="20"/>
        <v>0</v>
      </c>
      <c r="R28" s="475">
        <f t="shared" si="21"/>
        <v>5205</v>
      </c>
      <c r="S28" s="475">
        <f t="shared" si="16"/>
        <v>4744.0600000000004</v>
      </c>
      <c r="T28" s="475">
        <f t="shared" si="22"/>
        <v>460.9399999999996</v>
      </c>
      <c r="U28" s="478">
        <f t="shared" si="17"/>
        <v>0.16</v>
      </c>
      <c r="V28" s="475">
        <f t="shared" si="23"/>
        <v>73.750399999999942</v>
      </c>
      <c r="W28" s="475">
        <f t="shared" si="18"/>
        <v>381</v>
      </c>
      <c r="X28" s="475">
        <f t="shared" si="24"/>
        <v>454.75039999999996</v>
      </c>
      <c r="Y28" s="475">
        <f t="shared" si="19"/>
        <v>0</v>
      </c>
      <c r="Z28" s="475">
        <f t="shared" si="25"/>
        <v>454.75</v>
      </c>
      <c r="AA28" s="475"/>
      <c r="AB28" s="475">
        <f t="shared" si="27"/>
        <v>0</v>
      </c>
      <c r="AC28" s="475">
        <f t="shared" si="28"/>
        <v>454.75</v>
      </c>
      <c r="AD28" s="475">
        <v>0</v>
      </c>
      <c r="AE28" s="476">
        <v>0</v>
      </c>
      <c r="AF28" s="476">
        <v>0</v>
      </c>
      <c r="AG28" s="476">
        <v>0</v>
      </c>
      <c r="AH28" s="475">
        <f t="shared" si="29"/>
        <v>454.75</v>
      </c>
      <c r="AI28" s="165">
        <f t="shared" si="15"/>
        <v>4750.25</v>
      </c>
      <c r="AJ28" s="178"/>
      <c r="AK28" s="175"/>
    </row>
    <row r="29" spans="1:38" ht="18" customHeight="1" x14ac:dyDescent="0.25">
      <c r="A29" s="103"/>
      <c r="B29" s="622"/>
      <c r="C29" s="623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3"/>
      <c r="AE29" s="623"/>
      <c r="AF29" s="623"/>
      <c r="AG29" s="623"/>
      <c r="AH29" s="623"/>
      <c r="AI29" s="623"/>
      <c r="AJ29" s="624"/>
      <c r="AK29" s="175"/>
    </row>
    <row r="30" spans="1:38" ht="18" customHeight="1" x14ac:dyDescent="0.25">
      <c r="A30" s="103"/>
      <c r="B30" s="596" t="s">
        <v>68</v>
      </c>
      <c r="C30" s="596"/>
      <c r="D30" s="596"/>
      <c r="E30" s="596"/>
      <c r="F30" s="596"/>
      <c r="G30" s="596"/>
      <c r="H30" s="484">
        <f>SUM(H12:H28)</f>
        <v>88624</v>
      </c>
      <c r="I30" s="484">
        <f t="shared" ref="I30:AH30" si="30">SUM(I12:I28)</f>
        <v>0</v>
      </c>
      <c r="J30" s="484">
        <f t="shared" si="30"/>
        <v>0</v>
      </c>
      <c r="K30" s="484">
        <f t="shared" si="30"/>
        <v>0</v>
      </c>
      <c r="L30" s="484">
        <f t="shared" si="30"/>
        <v>0</v>
      </c>
      <c r="M30" s="484">
        <f t="shared" si="30"/>
        <v>0</v>
      </c>
      <c r="N30" s="484">
        <f t="shared" si="30"/>
        <v>0</v>
      </c>
      <c r="O30" s="484">
        <f t="shared" si="30"/>
        <v>88624</v>
      </c>
      <c r="P30" s="484">
        <f t="shared" si="30"/>
        <v>0</v>
      </c>
      <c r="Q30" s="484">
        <f t="shared" si="30"/>
        <v>0</v>
      </c>
      <c r="R30" s="484">
        <f t="shared" si="30"/>
        <v>88624</v>
      </c>
      <c r="S30" s="484">
        <f t="shared" si="30"/>
        <v>78852.319999999992</v>
      </c>
      <c r="T30" s="484">
        <f t="shared" si="30"/>
        <v>9771.679999999993</v>
      </c>
      <c r="U30" s="484">
        <f t="shared" si="30"/>
        <v>2.6968000000000005</v>
      </c>
      <c r="V30" s="484">
        <f t="shared" si="30"/>
        <v>1513.7795119999987</v>
      </c>
      <c r="W30" s="484">
        <f t="shared" si="30"/>
        <v>6543.75</v>
      </c>
      <c r="X30" s="484">
        <f t="shared" si="30"/>
        <v>8057.5295119999992</v>
      </c>
      <c r="Y30" s="484">
        <f t="shared" si="30"/>
        <v>200.7</v>
      </c>
      <c r="Z30" s="484">
        <f t="shared" si="30"/>
        <v>7856.83</v>
      </c>
      <c r="AA30" s="484">
        <f t="shared" si="30"/>
        <v>0</v>
      </c>
      <c r="AB30" s="484">
        <f t="shared" si="30"/>
        <v>112.5</v>
      </c>
      <c r="AC30" s="484">
        <f t="shared" si="30"/>
        <v>7969.33</v>
      </c>
      <c r="AD30" s="484">
        <f t="shared" si="30"/>
        <v>0</v>
      </c>
      <c r="AE30" s="484">
        <f t="shared" si="30"/>
        <v>0</v>
      </c>
      <c r="AF30" s="484">
        <f t="shared" si="30"/>
        <v>0</v>
      </c>
      <c r="AG30" s="484">
        <f t="shared" si="30"/>
        <v>0</v>
      </c>
      <c r="AH30" s="484">
        <f t="shared" si="30"/>
        <v>7969.33</v>
      </c>
      <c r="AI30" s="179">
        <f>SUM(AI12:AI28)</f>
        <v>80767.17</v>
      </c>
      <c r="AJ30" s="165"/>
      <c r="AK30" s="175"/>
      <c r="AL30" s="108">
        <f>O30+AB30-AH30</f>
        <v>80767.17</v>
      </c>
    </row>
    <row r="31" spans="1:38" ht="18" customHeight="1" x14ac:dyDescent="0.25">
      <c r="A31" s="103"/>
      <c r="B31" s="160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160"/>
      <c r="AJ31" s="160"/>
      <c r="AK31" s="175"/>
    </row>
    <row r="32" spans="1:38" ht="18" customHeight="1" x14ac:dyDescent="0.25">
      <c r="A32" s="103" t="s">
        <v>102</v>
      </c>
      <c r="B32" s="160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160"/>
      <c r="AJ32" s="160"/>
      <c r="AK32" s="175"/>
    </row>
    <row r="33" spans="1:37" ht="18" customHeight="1" x14ac:dyDescent="0.25">
      <c r="A33" s="103"/>
      <c r="B33" s="160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2"/>
      <c r="AH33" s="402"/>
      <c r="AI33" s="160"/>
      <c r="AJ33" s="160"/>
      <c r="AK33" s="175"/>
    </row>
    <row r="34" spans="1:37" ht="18" customHeight="1" thickBot="1" x14ac:dyDescent="0.3">
      <c r="A34" s="103"/>
      <c r="B34" s="160"/>
      <c r="C34" s="470"/>
      <c r="D34" s="485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85"/>
      <c r="AC34" s="485"/>
      <c r="AD34" s="485"/>
      <c r="AE34" s="485"/>
      <c r="AF34" s="485"/>
      <c r="AG34" s="485"/>
      <c r="AH34" s="485"/>
      <c r="AI34" s="174"/>
      <c r="AJ34" s="160"/>
      <c r="AK34" s="175"/>
    </row>
    <row r="35" spans="1:37" ht="25.5" customHeight="1" x14ac:dyDescent="0.25">
      <c r="A35" s="103"/>
      <c r="B35" s="160"/>
      <c r="C35" s="532" t="s">
        <v>287</v>
      </c>
      <c r="D35" s="53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593" t="s">
        <v>288</v>
      </c>
      <c r="AC35" s="593"/>
      <c r="AD35" s="593"/>
      <c r="AE35" s="593"/>
      <c r="AF35" s="593"/>
      <c r="AG35" s="593"/>
      <c r="AH35" s="593"/>
      <c r="AI35" s="593"/>
      <c r="AJ35" s="160"/>
      <c r="AK35" s="175"/>
    </row>
    <row r="36" spans="1:37" ht="26.25" customHeight="1" x14ac:dyDescent="0.25">
      <c r="A36" s="103"/>
      <c r="B36" s="160"/>
      <c r="C36" s="521" t="s">
        <v>249</v>
      </c>
      <c r="D36" s="521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581" t="s">
        <v>104</v>
      </c>
      <c r="AC36" s="581"/>
      <c r="AD36" s="581"/>
      <c r="AE36" s="581"/>
      <c r="AF36" s="581"/>
      <c r="AG36" s="581"/>
      <c r="AH36" s="581"/>
      <c r="AI36" s="581"/>
      <c r="AJ36" s="160"/>
      <c r="AK36" s="175"/>
    </row>
    <row r="37" spans="1:37" ht="18" customHeight="1" x14ac:dyDescent="0.25"/>
    <row r="39" spans="1:37" x14ac:dyDescent="0.25">
      <c r="AH39" s="338"/>
      <c r="AI39" s="112"/>
    </row>
    <row r="40" spans="1:37" x14ac:dyDescent="0.25">
      <c r="AH40" s="338"/>
      <c r="AI40" s="116"/>
    </row>
    <row r="41" spans="1:37" x14ac:dyDescent="0.25">
      <c r="AH41" s="338"/>
      <c r="AI41" s="116"/>
    </row>
    <row r="42" spans="1:37" x14ac:dyDescent="0.25">
      <c r="AH42" s="338"/>
      <c r="AI42" s="112"/>
    </row>
    <row r="43" spans="1:37" x14ac:dyDescent="0.25">
      <c r="AH43" s="338"/>
      <c r="AI43" s="116"/>
    </row>
    <row r="45" spans="1:37" x14ac:dyDescent="0.25">
      <c r="AI45" s="108"/>
    </row>
  </sheetData>
  <mergeCells count="11">
    <mergeCell ref="D6:H6"/>
    <mergeCell ref="C35:D35"/>
    <mergeCell ref="C36:D36"/>
    <mergeCell ref="AB35:AI35"/>
    <mergeCell ref="AB36:AI36"/>
    <mergeCell ref="B8:AI8"/>
    <mergeCell ref="H9:O9"/>
    <mergeCell ref="S9:X9"/>
    <mergeCell ref="AC9:AH9"/>
    <mergeCell ref="B30:G30"/>
    <mergeCell ref="B29:AJ29"/>
  </mergeCells>
  <pageMargins left="0.7" right="0.7" top="0.75" bottom="0.75" header="0.3" footer="0.3"/>
  <pageSetup scale="6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 codeName="Hoja111">
    <tabColor rgb="FFFFFF00"/>
    <pageSetUpPr fitToPage="1"/>
  </sheetPr>
  <dimension ref="B1:AH50"/>
  <sheetViews>
    <sheetView showGridLines="0" zoomScale="75" workbookViewId="0">
      <selection activeCell="F34" sqref="F34"/>
    </sheetView>
  </sheetViews>
  <sheetFormatPr baseColWidth="10" defaultColWidth="11" defaultRowHeight="12.5" x14ac:dyDescent="0.25"/>
  <cols>
    <col min="1" max="1" width="11" style="5"/>
    <col min="2" max="2" width="49.54296875" style="5" customWidth="1"/>
    <col min="3" max="3" width="15.453125" style="5" customWidth="1"/>
    <col min="4" max="4" width="4.26953125" style="5" customWidth="1"/>
    <col min="5" max="5" width="11.81640625" style="5" hidden="1" customWidth="1"/>
    <col min="6" max="6" width="43.54296875" style="5" customWidth="1"/>
    <col min="7" max="7" width="12" style="5" bestFit="1" customWidth="1"/>
    <col min="8" max="8" width="11" style="5"/>
    <col min="9" max="22" width="8.7265625" style="5" customWidth="1"/>
    <col min="23" max="24" width="11" style="5"/>
    <col min="25" max="25" width="12.26953125" style="5" bestFit="1" customWidth="1"/>
    <col min="26" max="26" width="11.54296875" style="5" bestFit="1" customWidth="1"/>
    <col min="27" max="27" width="10.54296875" style="5" customWidth="1"/>
    <col min="28" max="28" width="11" style="5"/>
    <col min="29" max="29" width="12" style="5" hidden="1" customWidth="1"/>
    <col min="30" max="31" width="11.26953125" style="5" hidden="1" customWidth="1"/>
    <col min="32" max="32" width="11" style="5"/>
    <col min="33" max="34" width="11.1796875" style="5" bestFit="1" customWidth="1"/>
    <col min="35" max="16384" width="11" style="5"/>
  </cols>
  <sheetData>
    <row r="1" spans="2:34" x14ac:dyDescent="0.25">
      <c r="B1" s="4"/>
      <c r="C1" s="4"/>
      <c r="D1" s="4"/>
      <c r="E1" s="4"/>
      <c r="F1" s="4"/>
    </row>
    <row r="2" spans="2:34" ht="25.5" customHeight="1" x14ac:dyDescent="0.4">
      <c r="B2" s="8" t="s">
        <v>97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34" ht="25.5" customHeight="1" x14ac:dyDescent="0.4">
      <c r="B3" s="80" t="s">
        <v>78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4" ht="25.5" customHeight="1" x14ac:dyDescent="0.35">
      <c r="B4" s="81" t="s">
        <v>11</v>
      </c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34" ht="26.25" customHeight="1" x14ac:dyDescent="0.35">
      <c r="B5" s="82" t="s">
        <v>188</v>
      </c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34" ht="12.75" customHeight="1" x14ac:dyDescent="0.2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34" x14ac:dyDescent="0.2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34" x14ac:dyDescent="0.2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4" ht="18" x14ac:dyDescent="0.4">
      <c r="B9" s="11" t="s">
        <v>12</v>
      </c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34" ht="17.5" x14ac:dyDescent="0.35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34" ht="15.5" x14ac:dyDescent="0.3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625" t="s">
        <v>187</v>
      </c>
      <c r="Z11" s="625"/>
      <c r="AA11" s="625"/>
      <c r="AB11" s="625"/>
      <c r="AC11" s="625"/>
      <c r="AD11" s="625"/>
      <c r="AE11" s="625"/>
      <c r="AF11" s="625"/>
    </row>
    <row r="12" spans="2:34" ht="20.25" customHeight="1" x14ac:dyDescent="0.3">
      <c r="B12" s="17" t="s">
        <v>13</v>
      </c>
      <c r="C12" s="83">
        <v>16641.599999999999</v>
      </c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9"/>
      <c r="X12" s="16"/>
      <c r="Y12" s="16"/>
      <c r="AA12" s="20"/>
      <c r="AB12" s="20"/>
    </row>
    <row r="13" spans="2:34" ht="22.5" customHeight="1" x14ac:dyDescent="0.35">
      <c r="B13" s="17" t="s">
        <v>25</v>
      </c>
      <c r="C13" s="83">
        <v>0</v>
      </c>
      <c r="D13" s="18"/>
      <c r="E13" s="18"/>
      <c r="F13" s="18"/>
      <c r="Y13" s="21" t="s">
        <v>14</v>
      </c>
      <c r="Z13" s="21"/>
      <c r="AA13" s="16"/>
      <c r="AB13" s="7"/>
      <c r="AC13" s="21"/>
      <c r="AD13" s="16"/>
      <c r="AE13" s="16"/>
      <c r="AG13" s="21" t="s">
        <v>8</v>
      </c>
      <c r="AH13" s="22"/>
    </row>
    <row r="14" spans="2:34" ht="13.5" customHeight="1" x14ac:dyDescent="0.35">
      <c r="B14" s="17" t="s">
        <v>15</v>
      </c>
      <c r="C14" s="84"/>
      <c r="D14" s="18"/>
      <c r="E14" s="18"/>
      <c r="F14" s="18"/>
      <c r="Y14" s="24" t="s">
        <v>12</v>
      </c>
      <c r="Z14" s="16"/>
      <c r="AA14" s="21"/>
      <c r="AB14" s="25"/>
      <c r="AC14" s="24"/>
      <c r="AD14" s="21"/>
      <c r="AE14" s="26"/>
      <c r="AF14" s="27"/>
      <c r="AG14" s="24" t="s">
        <v>79</v>
      </c>
      <c r="AH14" s="28"/>
    </row>
    <row r="15" spans="2:34" ht="20.25" customHeight="1" x14ac:dyDescent="0.3">
      <c r="B15" s="17" t="s">
        <v>16</v>
      </c>
      <c r="C15" s="85">
        <f>C12-C13</f>
        <v>16641.599999999999</v>
      </c>
      <c r="D15" s="18"/>
      <c r="E15" s="29"/>
      <c r="F15" s="18"/>
      <c r="Y15" s="30" t="s">
        <v>17</v>
      </c>
      <c r="Z15" s="30" t="s">
        <v>18</v>
      </c>
      <c r="AA15" s="30" t="s">
        <v>1</v>
      </c>
      <c r="AB15" s="31"/>
      <c r="AC15" s="30"/>
      <c r="AD15" s="30"/>
      <c r="AE15" s="30"/>
      <c r="AF15" s="32"/>
      <c r="AG15" s="30" t="s">
        <v>19</v>
      </c>
      <c r="AH15" s="30" t="s">
        <v>8</v>
      </c>
    </row>
    <row r="16" spans="2:34" ht="22.5" customHeight="1" x14ac:dyDescent="0.3">
      <c r="B16" s="17" t="s">
        <v>26</v>
      </c>
      <c r="C16" s="85" t="e">
        <f>VLOOKUP(C15,TARIFA,1)</f>
        <v>#NAME?</v>
      </c>
      <c r="D16" s="18"/>
      <c r="E16" s="29"/>
      <c r="F16" s="18"/>
      <c r="Y16" s="7"/>
      <c r="Z16" s="7"/>
      <c r="AA16" s="7"/>
      <c r="AB16" s="7"/>
      <c r="AC16" s="7"/>
      <c r="AD16" s="7"/>
      <c r="AE16" s="7"/>
    </row>
    <row r="17" spans="2:34" ht="17.25" customHeight="1" x14ac:dyDescent="0.3">
      <c r="B17" s="18"/>
      <c r="C17" s="84"/>
      <c r="D17" s="18"/>
      <c r="E17" s="23"/>
      <c r="F17" s="18"/>
      <c r="Y17" s="92">
        <v>0.01</v>
      </c>
      <c r="Z17" s="92">
        <v>0</v>
      </c>
      <c r="AA17" s="93">
        <v>1.9199999999999998E-2</v>
      </c>
      <c r="AB17" s="33"/>
      <c r="AC17" s="33"/>
      <c r="AD17" s="33"/>
      <c r="AE17" s="34"/>
      <c r="AF17" s="33"/>
      <c r="AG17" s="92">
        <v>0.01</v>
      </c>
      <c r="AH17" s="92">
        <v>200.85</v>
      </c>
    </row>
    <row r="18" spans="2:34" ht="20.25" customHeight="1" x14ac:dyDescent="0.3">
      <c r="B18" s="17" t="s">
        <v>20</v>
      </c>
      <c r="C18" s="85" t="e">
        <f>C15-C16</f>
        <v>#NAME?</v>
      </c>
      <c r="D18" s="29"/>
      <c r="E18" s="29"/>
      <c r="F18" s="18"/>
      <c r="Y18" s="92">
        <v>318.01</v>
      </c>
      <c r="Z18" s="92">
        <v>6.15</v>
      </c>
      <c r="AA18" s="93">
        <v>6.4000000000000001E-2</v>
      </c>
      <c r="AB18" s="33"/>
      <c r="AC18" s="33"/>
      <c r="AD18" s="33"/>
      <c r="AE18" s="34"/>
      <c r="AF18" s="33"/>
      <c r="AG18" s="92">
        <v>872.86</v>
      </c>
      <c r="AH18" s="92">
        <v>200.7</v>
      </c>
    </row>
    <row r="19" spans="2:34" ht="22.5" customHeight="1" x14ac:dyDescent="0.3">
      <c r="B19" s="17" t="s">
        <v>27</v>
      </c>
      <c r="C19" s="86" t="e">
        <f>VLOOKUP(C15,TARIFA,3)</f>
        <v>#NAME?</v>
      </c>
      <c r="D19" s="18"/>
      <c r="E19" s="36"/>
      <c r="F19" s="18"/>
      <c r="Y19" s="92">
        <v>2699.41</v>
      </c>
      <c r="Z19" s="92">
        <v>158.55000000000001</v>
      </c>
      <c r="AA19" s="93">
        <v>0.10879999999999999</v>
      </c>
      <c r="AB19" s="33"/>
      <c r="AC19" s="33"/>
      <c r="AD19" s="33"/>
      <c r="AE19" s="34"/>
      <c r="AF19" s="33"/>
      <c r="AG19" s="92">
        <v>1309.21</v>
      </c>
      <c r="AH19" s="92">
        <v>200.7</v>
      </c>
    </row>
    <row r="20" spans="2:34" ht="14.25" customHeight="1" x14ac:dyDescent="0.3">
      <c r="B20" s="18"/>
      <c r="C20" s="23"/>
      <c r="D20" s="18"/>
      <c r="E20" s="23"/>
      <c r="F20" s="18"/>
      <c r="Y20" s="92">
        <v>4744.0600000000004</v>
      </c>
      <c r="Z20" s="92">
        <v>381</v>
      </c>
      <c r="AA20" s="93">
        <v>0.16</v>
      </c>
      <c r="AB20" s="33"/>
      <c r="AC20" s="33"/>
      <c r="AD20" s="33"/>
      <c r="AE20" s="34"/>
      <c r="AF20" s="33"/>
      <c r="AG20" s="92">
        <v>1713.61</v>
      </c>
      <c r="AH20" s="92">
        <v>193.8</v>
      </c>
    </row>
    <row r="21" spans="2:34" ht="20.25" customHeight="1" x14ac:dyDescent="0.3">
      <c r="B21" s="37" t="s">
        <v>21</v>
      </c>
      <c r="C21" s="87" t="e">
        <f>C18*C19</f>
        <v>#NAME?</v>
      </c>
      <c r="D21" s="38"/>
      <c r="E21" s="38"/>
      <c r="F21" s="18"/>
      <c r="Y21" s="92">
        <v>5514.76</v>
      </c>
      <c r="Z21" s="92">
        <v>504.3</v>
      </c>
      <c r="AA21" s="93">
        <v>0.1792</v>
      </c>
      <c r="AB21" s="33"/>
      <c r="AC21" s="33"/>
      <c r="AD21" s="33"/>
      <c r="AE21" s="34"/>
      <c r="AF21" s="33"/>
      <c r="AG21" s="92">
        <v>1745.71</v>
      </c>
      <c r="AH21" s="92">
        <v>188.7</v>
      </c>
    </row>
    <row r="22" spans="2:34" ht="17.25" customHeight="1" x14ac:dyDescent="0.3">
      <c r="B22" s="17" t="s">
        <v>28</v>
      </c>
      <c r="C22" s="85" t="e">
        <f>VLOOKUP(C15,TARIFA,2)</f>
        <v>#NAME?</v>
      </c>
      <c r="D22" s="18"/>
      <c r="E22" s="39"/>
      <c r="F22" s="18"/>
      <c r="Y22" s="92">
        <v>6602.71</v>
      </c>
      <c r="Z22" s="92">
        <v>699.3</v>
      </c>
      <c r="AA22" s="93">
        <v>0.21360000000000001</v>
      </c>
      <c r="AB22" s="33"/>
      <c r="AC22" s="33"/>
      <c r="AD22" s="33"/>
      <c r="AE22" s="34"/>
      <c r="AF22" s="33"/>
      <c r="AG22" s="92">
        <v>2193.7600000000002</v>
      </c>
      <c r="AH22" s="92">
        <v>174.75</v>
      </c>
    </row>
    <row r="23" spans="2:34" ht="14.25" customHeight="1" x14ac:dyDescent="0.3">
      <c r="B23" s="42"/>
      <c r="C23" s="88"/>
      <c r="D23" s="18"/>
      <c r="E23" s="23"/>
      <c r="F23" s="18"/>
      <c r="Y23" s="92">
        <v>13316.71</v>
      </c>
      <c r="Z23" s="92">
        <v>2133.3000000000002</v>
      </c>
      <c r="AA23" s="93">
        <v>0.23519999999999999</v>
      </c>
      <c r="AB23" s="33"/>
      <c r="AC23" s="33"/>
      <c r="AD23" s="33"/>
      <c r="AE23" s="34"/>
      <c r="AF23" s="33"/>
      <c r="AG23" s="92">
        <v>2327.56</v>
      </c>
      <c r="AH23" s="92">
        <v>160.35</v>
      </c>
    </row>
    <row r="24" spans="2:34" ht="20.25" customHeight="1" x14ac:dyDescent="0.3">
      <c r="B24" s="42" t="s">
        <v>80</v>
      </c>
      <c r="C24" s="88" t="e">
        <f>+C21+C22</f>
        <v>#NAME?</v>
      </c>
      <c r="D24" s="18"/>
      <c r="E24" s="38"/>
      <c r="F24" s="40"/>
      <c r="Y24" s="92">
        <v>20988.91</v>
      </c>
      <c r="Z24" s="92">
        <v>3937.8</v>
      </c>
      <c r="AA24" s="93">
        <v>0.3</v>
      </c>
      <c r="AB24" s="33"/>
      <c r="AC24" s="33"/>
      <c r="AD24" s="33"/>
      <c r="AE24" s="34"/>
      <c r="AF24" s="33"/>
      <c r="AG24" s="92">
        <v>2632.66</v>
      </c>
      <c r="AH24" s="92">
        <v>145.35</v>
      </c>
    </row>
    <row r="25" spans="2:34" ht="21.75" customHeight="1" x14ac:dyDescent="0.3">
      <c r="C25" s="89"/>
      <c r="D25" s="41"/>
      <c r="E25" s="29"/>
      <c r="F25" s="18"/>
      <c r="Y25" s="92">
        <v>40071.31</v>
      </c>
      <c r="Z25" s="92">
        <v>9662.5499999999993</v>
      </c>
      <c r="AA25" s="93">
        <v>0.32</v>
      </c>
      <c r="AB25" s="33"/>
      <c r="AC25" s="33"/>
      <c r="AD25" s="33"/>
      <c r="AE25" s="35"/>
      <c r="AF25" s="33"/>
      <c r="AG25" s="92">
        <v>3071.41</v>
      </c>
      <c r="AH25" s="92">
        <v>125.1</v>
      </c>
    </row>
    <row r="26" spans="2:34" ht="21.75" customHeight="1" x14ac:dyDescent="0.3">
      <c r="B26" s="17" t="s">
        <v>82</v>
      </c>
      <c r="C26" s="85" t="e">
        <f>VLOOKUP(C15,CREDITO,2)</f>
        <v>#NAME?</v>
      </c>
      <c r="D26" s="18"/>
      <c r="E26" s="43"/>
      <c r="F26" s="44"/>
      <c r="Y26" s="92">
        <v>53428.51</v>
      </c>
      <c r="Z26" s="92">
        <v>13936.8</v>
      </c>
      <c r="AA26" s="93">
        <v>0.34</v>
      </c>
      <c r="AB26" s="33"/>
      <c r="AC26" s="33"/>
      <c r="AD26" s="33"/>
      <c r="AE26" s="33"/>
      <c r="AF26" s="33"/>
      <c r="AG26" s="92">
        <v>3510.16</v>
      </c>
      <c r="AH26" s="92">
        <v>107.4</v>
      </c>
    </row>
    <row r="27" spans="2:34" ht="14" x14ac:dyDescent="0.3">
      <c r="B27" s="18"/>
      <c r="C27" s="84"/>
      <c r="D27" s="18"/>
      <c r="E27" s="23"/>
      <c r="F27" s="45"/>
      <c r="Y27" s="92">
        <v>160285.35999999999</v>
      </c>
      <c r="Z27" s="92">
        <v>50268.15</v>
      </c>
      <c r="AA27" s="93">
        <v>0.35</v>
      </c>
      <c r="AB27" s="33"/>
      <c r="AC27" s="33"/>
      <c r="AD27" s="33"/>
      <c r="AE27" s="33"/>
      <c r="AF27" s="33"/>
      <c r="AG27" s="92">
        <v>3642.61</v>
      </c>
      <c r="AH27" s="92">
        <v>0</v>
      </c>
    </row>
    <row r="28" spans="2:34" ht="21.75" customHeight="1" thickBot="1" x14ac:dyDescent="0.35">
      <c r="B28" s="46" t="s">
        <v>22</v>
      </c>
      <c r="C28" s="90" t="e">
        <f>IF(C24&gt;C26,C24-C26,0)</f>
        <v>#NAME?</v>
      </c>
      <c r="D28" s="18"/>
      <c r="E28" s="23"/>
      <c r="F28" s="18"/>
      <c r="Y28" s="33"/>
      <c r="Z28" s="33"/>
      <c r="AA28" s="34"/>
    </row>
    <row r="29" spans="2:34" ht="20.25" customHeight="1" thickTop="1" thickBot="1" x14ac:dyDescent="0.35">
      <c r="C29" s="89"/>
      <c r="D29" s="18"/>
      <c r="E29" s="18"/>
      <c r="F29" s="18"/>
      <c r="Y29" s="33"/>
      <c r="Z29" s="33"/>
      <c r="AA29" s="33"/>
    </row>
    <row r="30" spans="2:34" ht="20.25" customHeight="1" thickTop="1" thickBot="1" x14ac:dyDescent="0.35">
      <c r="B30" s="47" t="s">
        <v>81</v>
      </c>
      <c r="C30" s="91" t="e">
        <f>IF(C24&lt;C26,C26-C24,0)</f>
        <v>#NAME?</v>
      </c>
      <c r="D30" s="18"/>
      <c r="E30" s="18"/>
      <c r="F30" s="18"/>
      <c r="Y30" s="33"/>
      <c r="Z30" s="33"/>
      <c r="AA30" s="33"/>
    </row>
    <row r="31" spans="2:34" ht="27.75" customHeight="1" thickTop="1" x14ac:dyDescent="0.3">
      <c r="D31" s="18"/>
      <c r="E31" s="18"/>
      <c r="F31" s="48"/>
    </row>
    <row r="32" spans="2:34" ht="20.25" customHeight="1" x14ac:dyDescent="0.3">
      <c r="D32" s="18"/>
      <c r="E32" s="18"/>
      <c r="F32" s="18"/>
    </row>
    <row r="33" spans="2:6" ht="20.25" customHeight="1" x14ac:dyDescent="0.3">
      <c r="B33" s="42"/>
      <c r="C33" s="42"/>
      <c r="D33" s="18"/>
      <c r="E33" s="18"/>
      <c r="F33" s="18"/>
    </row>
    <row r="34" spans="2:6" ht="20.25" customHeight="1" x14ac:dyDescent="0.35">
      <c r="B34" s="49" t="s">
        <v>91</v>
      </c>
      <c r="C34" s="42"/>
      <c r="D34" s="18"/>
      <c r="E34" s="18"/>
      <c r="F34" s="18"/>
    </row>
    <row r="35" spans="2:6" ht="20.25" customHeight="1" x14ac:dyDescent="0.3">
      <c r="B35" s="50"/>
      <c r="C35" s="42"/>
      <c r="D35" s="18"/>
      <c r="E35" s="18"/>
      <c r="F35" s="18"/>
    </row>
    <row r="36" spans="2:6" ht="20.25" customHeight="1" x14ac:dyDescent="0.3">
      <c r="B36" s="51"/>
      <c r="C36" s="52"/>
      <c r="D36" s="53"/>
      <c r="E36" s="53"/>
      <c r="F36" s="53"/>
    </row>
    <row r="37" spans="2:6" ht="20.25" customHeight="1" x14ac:dyDescent="0.35">
      <c r="B37" s="7"/>
      <c r="C37" s="7"/>
      <c r="D37" s="14"/>
      <c r="E37" s="14"/>
      <c r="F37" s="14"/>
    </row>
    <row r="38" spans="2:6" ht="20.25" customHeight="1" x14ac:dyDescent="0.35">
      <c r="B38" s="53" t="s">
        <v>77</v>
      </c>
      <c r="C38" s="54"/>
      <c r="D38" s="14"/>
      <c r="E38" s="14"/>
      <c r="F38" s="14"/>
    </row>
    <row r="39" spans="2:6" ht="6.75" customHeight="1" x14ac:dyDescent="0.25">
      <c r="B39" s="53"/>
      <c r="C39" s="53"/>
      <c r="D39" s="53"/>
      <c r="E39" s="53"/>
      <c r="F39" s="53"/>
    </row>
    <row r="40" spans="2:6" x14ac:dyDescent="0.25">
      <c r="B40" s="95" t="s">
        <v>23</v>
      </c>
      <c r="C40" s="55" t="e">
        <f>C28/2</f>
        <v>#NAME?</v>
      </c>
      <c r="D40" s="53"/>
      <c r="E40" s="53"/>
      <c r="F40" s="53"/>
    </row>
    <row r="41" spans="2:6" ht="15" customHeight="1" x14ac:dyDescent="0.25">
      <c r="B41" s="96" t="s">
        <v>90</v>
      </c>
      <c r="C41" s="56" t="e">
        <f>C30/4</f>
        <v>#NAME?</v>
      </c>
      <c r="D41" s="4"/>
      <c r="E41" s="4"/>
      <c r="F41" s="53"/>
    </row>
    <row r="42" spans="2:6" x14ac:dyDescent="0.25">
      <c r="B42" s="7"/>
      <c r="C42" s="57"/>
      <c r="D42" s="4"/>
      <c r="E42" s="4"/>
      <c r="F42" s="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ht="10.5" customHeight="1" x14ac:dyDescent="0.25">
      <c r="B45" s="4"/>
      <c r="C45" s="4"/>
      <c r="D45" s="4"/>
      <c r="E45" s="4"/>
      <c r="F45" s="4"/>
    </row>
    <row r="46" spans="2:6" ht="18" customHeight="1" x14ac:dyDescent="0.35">
      <c r="B46" s="58" t="s">
        <v>24</v>
      </c>
      <c r="C46" s="59"/>
      <c r="D46" s="4"/>
      <c r="E46" s="4"/>
      <c r="F46" s="4"/>
    </row>
    <row r="47" spans="2:6" ht="17.25" customHeight="1" x14ac:dyDescent="0.35">
      <c r="B47" s="94" t="s">
        <v>189</v>
      </c>
      <c r="C47" s="59"/>
      <c r="D47" s="4"/>
      <c r="E47" s="4"/>
      <c r="F47" s="4"/>
    </row>
    <row r="48" spans="2:6" x14ac:dyDescent="0.25">
      <c r="B48" s="4"/>
      <c r="C48" s="4"/>
      <c r="D48" s="4"/>
      <c r="E48" s="4"/>
      <c r="F48" s="7"/>
    </row>
    <row r="49" spans="2:6" x14ac:dyDescent="0.25">
      <c r="B49" s="4"/>
      <c r="C49" s="4"/>
      <c r="D49" s="4"/>
      <c r="E49" s="4"/>
      <c r="F49" s="60"/>
    </row>
    <row r="50" spans="2:6" x14ac:dyDescent="0.2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Y11:AF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2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SEG. PUBLICA</vt:lpstr>
      <vt:lpstr>PROT.CIVIL</vt:lpstr>
      <vt:lpstr>Calculo ISPT 2018 quincenal</vt:lpstr>
      <vt:lpstr>BASE!Área_de_impresión</vt:lpstr>
      <vt:lpstr>EVENTUALES!Área_de_impresión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Credito1</vt:lpstr>
      <vt:lpstr>TARIFA1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User</cp:lastModifiedBy>
  <cp:lastPrinted>2022-01-14T18:07:02Z</cp:lastPrinted>
  <dcterms:created xsi:type="dcterms:W3CDTF">2000-05-05T04:08:27Z</dcterms:created>
  <dcterms:modified xsi:type="dcterms:W3CDTF">2022-05-16T19:21:57Z</dcterms:modified>
</cp:coreProperties>
</file>